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4650" windowHeight="4200" tabRatio="885" activeTab="2"/>
  </bookViews>
  <sheets>
    <sheet name="Corr" sheetId="1" r:id="rId1"/>
    <sheet name="01" sheetId="2" r:id="rId2"/>
    <sheet name="02" sheetId="3" r:id="rId3"/>
    <sheet name="03" sheetId="4" r:id="rId4"/>
    <sheet name="04" sheetId="5" r:id="rId5"/>
    <sheet name="05" sheetId="6" r:id="rId6"/>
    <sheet name="06" sheetId="7" r:id="rId7"/>
    <sheet name="07" sheetId="8" r:id="rId8"/>
    <sheet name="08" sheetId="9" r:id="rId9"/>
    <sheet name="0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IRRF" sheetId="16" r:id="rId16"/>
    <sheet name="Conc" sheetId="17" r:id="rId17"/>
  </sheets>
  <definedNames>
    <definedName name="_xlnm.Print_Area" localSheetId="1">'01'!$A$1:$E$57</definedName>
    <definedName name="_xlnm.Print_Area" localSheetId="2">'02'!$A$1:$R$59</definedName>
    <definedName name="_xlnm.Print_Area" localSheetId="3">'03'!$A$1:$N$59</definedName>
    <definedName name="_xlnm.Print_Area" localSheetId="4">'04'!$A$1:$N$59</definedName>
    <definedName name="_xlnm.Print_Area" localSheetId="5">'05'!$A$1:$R$63</definedName>
    <definedName name="_xlnm.Print_Area" localSheetId="6">'06'!$A$1:$N$33</definedName>
    <definedName name="_xlnm.Print_Area" localSheetId="7">'07'!$A$1:$I$26</definedName>
    <definedName name="_xlnm.Print_Area" localSheetId="8">'08'!$A$1:$I$27</definedName>
    <definedName name="_xlnm.Print_Area" localSheetId="9">'09'!$A$1:$L$63</definedName>
    <definedName name="_xlnm.Print_Area" localSheetId="10">'10'!$A$1:$K$63</definedName>
    <definedName name="_xlnm.Print_Area" localSheetId="11">'11'!$A$1:$P$117</definedName>
    <definedName name="_xlnm.Print_Area" localSheetId="12">'12'!$A$1:$H$62</definedName>
    <definedName name="_xlnm.Print_Area" localSheetId="15">'IRRF'!$A$1:$C$63</definedName>
    <definedName name="_xlnm.Print_Titles" localSheetId="1">'01'!$1:$21</definedName>
    <definedName name="_xlnm.Print_Titles" localSheetId="2">'02'!$1:$21</definedName>
    <definedName name="_xlnm.Print_Titles" localSheetId="3">'03'!$1:$21</definedName>
    <definedName name="_xlnm.Print_Titles" localSheetId="4">'04'!$1:$21</definedName>
    <definedName name="_xlnm.Print_Titles" localSheetId="5">'05'!$1:$21</definedName>
    <definedName name="_xlnm.Print_Titles" localSheetId="9">'09'!$1:$21</definedName>
    <definedName name="_xlnm.Print_Titles" localSheetId="10">'10'!$1:$21</definedName>
    <definedName name="_xlnm.Print_Titles" localSheetId="11">'11'!$1:$21</definedName>
    <definedName name="_xlnm.Print_Titles" localSheetId="16">'Conc'!$1:$13</definedName>
  </definedNames>
  <calcPr fullCalcOnLoad="1" fullPrecision="0"/>
</workbook>
</file>

<file path=xl/sharedStrings.xml><?xml version="1.0" encoding="utf-8"?>
<sst xmlns="http://schemas.openxmlformats.org/spreadsheetml/2006/main" count="1434" uniqueCount="473">
  <si>
    <t>Total</t>
  </si>
  <si>
    <t>Mês/Ano</t>
  </si>
  <si>
    <t>Juros</t>
  </si>
  <si>
    <t>( 1 )</t>
  </si>
  <si>
    <t>( 2 )</t>
  </si>
  <si>
    <t>( 3 )</t>
  </si>
  <si>
    <t>( 4 )</t>
  </si>
  <si>
    <t>( 5 )</t>
  </si>
  <si>
    <t>( 6 )</t>
  </si>
  <si>
    <t>( 7 )</t>
  </si>
  <si>
    <t>( 8 )</t>
  </si>
  <si>
    <t>( 9 )</t>
  </si>
  <si>
    <t>Valor</t>
  </si>
  <si>
    <t>Coeficiente</t>
  </si>
  <si>
    <t>Subtotal</t>
  </si>
  <si>
    <t>Principal</t>
  </si>
  <si>
    <t>Apurado</t>
  </si>
  <si>
    <t>Acumulado</t>
  </si>
  <si>
    <t>dos</t>
  </si>
  <si>
    <t>Principal,</t>
  </si>
  <si>
    <t>$</t>
  </si>
  <si>
    <t>do Débito</t>
  </si>
  <si>
    <t>Corrigido</t>
  </si>
  <si>
    <t xml:space="preserve">12% A.A. </t>
  </si>
  <si>
    <t>Cor. Monet.</t>
  </si>
  <si>
    <t>Trabalhista</t>
  </si>
  <si>
    <t xml:space="preserve">art. 39 - Lei </t>
  </si>
  <si>
    <t>e Juros</t>
  </si>
  <si>
    <t xml:space="preserve"> 8.177/91 de</t>
  </si>
  <si>
    <t>devidos</t>
  </si>
  <si>
    <t>CONCLUSÃO</t>
  </si>
  <si>
    <t xml:space="preserve">        CONTEÚDO</t>
  </si>
  <si>
    <t>R$</t>
  </si>
  <si>
    <t>-</t>
  </si>
  <si>
    <t>Designação</t>
  </si>
  <si>
    <t>(C.5 x C.6)</t>
  </si>
  <si>
    <t>Juros Simples</t>
  </si>
  <si>
    <t>Salário</t>
  </si>
  <si>
    <t>Dias</t>
  </si>
  <si>
    <t>Valores</t>
  </si>
  <si>
    <t>Ávos</t>
  </si>
  <si>
    <t>VALORES</t>
  </si>
  <si>
    <t>APURADOS</t>
  </si>
  <si>
    <t>Salário de</t>
  </si>
  <si>
    <r>
      <t>Título:</t>
    </r>
    <r>
      <rPr>
        <b/>
        <sz val="8"/>
        <rFont val="Tahoma"/>
        <family val="2"/>
      </rPr>
      <t xml:space="preserve"> ENCARGOS PREVIDENCIÁRIOS - INSS DA ÉPOCA NA COMPETÊNCIA DO CRÉDITO</t>
    </r>
  </si>
  <si>
    <t>Faixa de</t>
  </si>
  <si>
    <t>Faixa do</t>
  </si>
  <si>
    <t>Valor dos</t>
  </si>
  <si>
    <t>Contribuição</t>
  </si>
  <si>
    <t>Remuneração</t>
  </si>
  <si>
    <t>Contribuição base</t>
  </si>
  <si>
    <t>Encargos</t>
  </si>
  <si>
    <t>maior</t>
  </si>
  <si>
    <t>Percebida</t>
  </si>
  <si>
    <t>de Cálculo ou maior</t>
  </si>
  <si>
    <t>Valor Teto</t>
  </si>
  <si>
    <t>Pelo Autor</t>
  </si>
  <si>
    <t>Valor teto ou salário</t>
  </si>
  <si>
    <t>11% de 08/95</t>
  </si>
  <si>
    <t>Época da</t>
  </si>
  <si>
    <t>(legal)</t>
  </si>
  <si>
    <t>Incidente</t>
  </si>
  <si>
    <t>de contrib. igual ou</t>
  </si>
  <si>
    <t>Ao INSS</t>
  </si>
  <si>
    <t>Menor ao</t>
  </si>
  <si>
    <t>Valor do Teto</t>
  </si>
  <si>
    <r>
      <t>Título:</t>
    </r>
    <r>
      <rPr>
        <b/>
        <sz val="8"/>
        <rFont val="Tahoma"/>
        <family val="2"/>
      </rPr>
      <t xml:space="preserve"> LEVANTAMENTO DOS VALORES INCIDENTES PARA O INSS</t>
    </r>
  </si>
  <si>
    <t>Valor do</t>
  </si>
  <si>
    <t>INSS a ser</t>
  </si>
  <si>
    <t>INSS</t>
  </si>
  <si>
    <t>descontado</t>
  </si>
  <si>
    <t>Observando-se</t>
  </si>
  <si>
    <t>(C.3 - C.4)</t>
  </si>
  <si>
    <t>(C.2 x C.6)</t>
  </si>
  <si>
    <t>(-) AVISO PRÉVIO INDENIZADO E INDENIZAÇÃO...................................................................................................</t>
  </si>
  <si>
    <t>(-) FGTS.....................................................................................................................................................</t>
  </si>
  <si>
    <t>(=) SALÁRIO BASE PARA O IRRF.......................................................................................................................</t>
  </si>
  <si>
    <t>(%) ALÍQUOTA............................................................................................................................................</t>
  </si>
  <si>
    <t>(=) SUBTOTAL................................................................................................................................................</t>
  </si>
  <si>
    <t>VALOR DO IRRF...............................................................................................................................................</t>
  </si>
  <si>
    <t>( 10 )</t>
  </si>
  <si>
    <t>Encargo da empresa (20%) sobre o sal.............................................................................................</t>
  </si>
  <si>
    <t>Terceiros (5,8%)............................................................................................................................................</t>
  </si>
  <si>
    <t>Total de encargos a ser pago pela empresa.............................................................................................................</t>
  </si>
  <si>
    <t>SAT (3%) sobre o salário de contribuição..............................................................................................</t>
  </si>
  <si>
    <t>Valor da</t>
  </si>
  <si>
    <t>INSS - descontado do Reclamante..........................................................................................</t>
  </si>
  <si>
    <t>FGTS</t>
  </si>
  <si>
    <t>(C.3 x C.4)</t>
  </si>
  <si>
    <t>Quantidade</t>
  </si>
  <si>
    <t>Trabalhados</t>
  </si>
  <si>
    <t>SOMATÓRIA</t>
  </si>
  <si>
    <t xml:space="preserve"> ( 2 )</t>
  </si>
  <si>
    <t xml:space="preserve"> ( 3 )</t>
  </si>
  <si>
    <t xml:space="preserve"> ( 4 )</t>
  </si>
  <si>
    <t xml:space="preserve"> ( 5 )</t>
  </si>
  <si>
    <t xml:space="preserve"> ( 6 )</t>
  </si>
  <si>
    <t>(C.4xC.5)</t>
  </si>
  <si>
    <t>Mensal</t>
  </si>
  <si>
    <t>ou</t>
  </si>
  <si>
    <t>de</t>
  </si>
  <si>
    <t>( 11 )</t>
  </si>
  <si>
    <t>Índice de</t>
  </si>
  <si>
    <t>Correção</t>
  </si>
  <si>
    <t xml:space="preserve">dos </t>
  </si>
  <si>
    <t>Monetária</t>
  </si>
  <si>
    <t>Monetária e</t>
  </si>
  <si>
    <t>Vigente em</t>
  </si>
  <si>
    <t>.</t>
  </si>
  <si>
    <t>( 12 )</t>
  </si>
  <si>
    <t>( 13 )</t>
  </si>
  <si>
    <t>Carga</t>
  </si>
  <si>
    <t>Somatória</t>
  </si>
  <si>
    <t xml:space="preserve">Índice </t>
  </si>
  <si>
    <t>Hora</t>
  </si>
  <si>
    <t>Horária</t>
  </si>
  <si>
    <t xml:space="preserve">12% a.a. art. </t>
  </si>
  <si>
    <t>pela</t>
  </si>
  <si>
    <t xml:space="preserve">39 Lei 8177/91 </t>
  </si>
  <si>
    <t>Reclamada</t>
  </si>
  <si>
    <t>até</t>
  </si>
  <si>
    <t>(C.10+C.12)</t>
  </si>
  <si>
    <t>(C.5%C.6)</t>
  </si>
  <si>
    <t>(C.5 + C.7)</t>
  </si>
  <si>
    <t>( 14 )</t>
  </si>
  <si>
    <t>PODER JUDICIÁRIO FEDERAL - JUSTIÇA DO TRABALHO</t>
  </si>
  <si>
    <t xml:space="preserve">TABELA ÚNICA PARA ATUALIZAÇÃO DE DÉBITOS TRABALHISTAS 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</si>
  <si>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</si>
  <si>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</si>
  <si>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</si>
  <si>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</si>
  <si>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</si>
  <si>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</si>
  <si>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</si>
  <si>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</si>
  <si>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</si>
  <si>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</si>
  <si>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</si>
  <si>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</si>
  <si>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 BASE CÁLCULO IMPOSTO DE RENDA </t>
  </si>
  <si>
    <t>INSTRUÇÃO NORMATIVA RFB Nº 1.127 DE 07/12/2011</t>
  </si>
  <si>
    <t>(+) PRINCIPAL E CORREÇÃO MONETÁRIA SEM O CÔMPUTO DOS JUROS........................................................................................................</t>
  </si>
  <si>
    <t>(-) FÉRIAS VENCIDAS + 1/3.................................................................................</t>
  </si>
  <si>
    <t>(-) BASE DE CÁLCULO DO IRRF SOBRE AS VERBAS DO ANEXO ANTERIOR..........................................................................................................................................</t>
  </si>
  <si>
    <t>(-) DEDUÇÃO DO INSS....................................................................................................................................</t>
  </si>
  <si>
    <t>QUANTIDADE DE MESES ..................................................................</t>
  </si>
  <si>
    <t>BASE DE CÁLCULO (MÉDIA DO PERÍODO) ..............................................</t>
  </si>
  <si>
    <t>(-) PARCELA À DEDUZIR DO IR.......................................................................................................................................................</t>
  </si>
  <si>
    <t>_______________</t>
  </si>
  <si>
    <t>Base de Cálculo (R$)</t>
  </si>
  <si>
    <t>Alíquota (%)</t>
  </si>
  <si>
    <t>Parcela a Deduzir do IR (R$)</t>
  </si>
  <si>
    <t>I</t>
  </si>
  <si>
    <t>PRINCIPAL..................................................................................................…...............................................................................</t>
  </si>
  <si>
    <t>II</t>
  </si>
  <si>
    <t>CORREÇÃO MONETÁRIA..............................................................….................................................................................................</t>
  </si>
  <si>
    <t>III</t>
  </si>
  <si>
    <t>JUROS .............................................................................................................................................................................................................</t>
  </si>
  <si>
    <t>IV</t>
  </si>
  <si>
    <t>VALOR APURADO............................................................................................................................................................................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</si>
  <si>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</si>
  <si>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</si>
  <si>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</si>
  <si>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</si>
  <si>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</si>
  <si>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</si>
  <si>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</si>
  <si>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</si>
  <si>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</si>
  <si>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TOTAL DOS VALORES APURADOS................................................................................................</t>
  </si>
  <si>
    <t>....................................................</t>
  </si>
  <si>
    <t>12% a.a. art. 39</t>
  </si>
  <si>
    <t>Lei 8177/91 de</t>
  </si>
  <si>
    <t>Aviso Prévio Indenizado</t>
  </si>
  <si>
    <t>sobre o Total</t>
  </si>
  <si>
    <t>Recolhido em</t>
  </si>
  <si>
    <t>do Reclamante</t>
  </si>
  <si>
    <t>Holleriths</t>
  </si>
  <si>
    <t>o Teto Máximo</t>
  </si>
  <si>
    <t>para o Recte</t>
  </si>
  <si>
    <t>Previdenciários</t>
  </si>
  <si>
    <t>8% a partir</t>
  </si>
  <si>
    <t>9% a partir</t>
  </si>
  <si>
    <t>de 01/2008</t>
  </si>
  <si>
    <t>de 05/2004</t>
  </si>
  <si>
    <t>Competência</t>
  </si>
  <si>
    <t>Reclamante</t>
  </si>
  <si>
    <r>
      <t>Título:</t>
    </r>
    <r>
      <rPr>
        <b/>
        <sz val="8"/>
        <rFont val="Tahoma"/>
        <family val="2"/>
      </rPr>
      <t xml:space="preserve"> EVOLUÇÃO SALARIAL  </t>
    </r>
  </si>
  <si>
    <t>Base de</t>
  </si>
  <si>
    <t>Cálculo</t>
  </si>
  <si>
    <t xml:space="preserve">FGTS </t>
  </si>
  <si>
    <t>sobre as</t>
  </si>
  <si>
    <t>Verbas</t>
  </si>
  <si>
    <t>Apuradas</t>
  </si>
  <si>
    <t>Vale</t>
  </si>
  <si>
    <t>Transporte</t>
  </si>
  <si>
    <t>Diferença</t>
  </si>
  <si>
    <t>Base para</t>
  </si>
  <si>
    <t>(C.7 x C.8)</t>
  </si>
  <si>
    <t xml:space="preserve">           (CALCULADO NO ESTADO DO PROCESSO)</t>
  </si>
  <si>
    <t>Férias</t>
  </si>
  <si>
    <t>de 1/3</t>
  </si>
  <si>
    <t>Acrescidas</t>
  </si>
  <si>
    <r>
      <t>Título:</t>
    </r>
    <r>
      <rPr>
        <b/>
        <sz val="8"/>
        <rFont val="Tahoma"/>
        <family val="2"/>
      </rPr>
      <t xml:space="preserve"> VERBAS RESCISÓRIASCORRESPONDENTES À DISPENSA IMOTIVADA</t>
    </r>
  </si>
  <si>
    <t>Anexo 01</t>
  </si>
  <si>
    <t>Rescisórias</t>
  </si>
  <si>
    <t xml:space="preserve">Multa Art. 477 </t>
  </si>
  <si>
    <r>
      <t>Título:</t>
    </r>
    <r>
      <rPr>
        <b/>
        <sz val="8"/>
        <rFont val="Tahoma"/>
        <family val="2"/>
      </rPr>
      <t xml:space="preserve"> MULTA DO ARTIGO 477 DA CLT - EQUIVALENTE A UM SALÁRIO NOMINAL DO RECLAMANTE</t>
    </r>
  </si>
  <si>
    <t>(C.2 x C.3)</t>
  </si>
  <si>
    <t>Ônibus</t>
  </si>
  <si>
    <t xml:space="preserve">Trem </t>
  </si>
  <si>
    <t>Indenização</t>
  </si>
  <si>
    <t>do Vale</t>
  </si>
  <si>
    <t>Legislação</t>
  </si>
  <si>
    <t>Dedução nos</t>
  </si>
  <si>
    <t>Termos da</t>
  </si>
  <si>
    <t>à ser paga</t>
  </si>
  <si>
    <t>conforme</t>
  </si>
  <si>
    <t>Inicial</t>
  </si>
  <si>
    <t>Utilizado</t>
  </si>
  <si>
    <t>Diariamente</t>
  </si>
  <si>
    <t>Base</t>
  </si>
  <si>
    <t>ao</t>
  </si>
  <si>
    <t xml:space="preserve"> ( 8 )</t>
  </si>
  <si>
    <t>no</t>
  </si>
  <si>
    <t>mês</t>
  </si>
  <si>
    <t>Parcelas</t>
  </si>
  <si>
    <t>XIV</t>
  </si>
  <si>
    <t>XV</t>
  </si>
  <si>
    <t>XVI</t>
  </si>
  <si>
    <t>XVII</t>
  </si>
  <si>
    <t>XVIII</t>
  </si>
  <si>
    <t>XIX</t>
  </si>
  <si>
    <t>XX</t>
  </si>
  <si>
    <t>30/01/2012 até</t>
  </si>
  <si>
    <r>
      <t xml:space="preserve">Admissão : </t>
    </r>
    <r>
      <rPr>
        <b/>
        <sz val="8"/>
        <rFont val="Tahoma"/>
        <family val="2"/>
      </rPr>
      <t xml:space="preserve">12/01/2009     </t>
    </r>
    <r>
      <rPr>
        <sz val="8"/>
        <rFont val="Tahoma"/>
        <family val="2"/>
      </rPr>
      <t xml:space="preserve">                          Data do Aviso Prévio :</t>
    </r>
    <r>
      <rPr>
        <b/>
        <sz val="8"/>
        <rFont val="Tahoma"/>
        <family val="2"/>
      </rPr>
      <t xml:space="preserve"> 09/07/2011         </t>
    </r>
  </si>
  <si>
    <r>
      <t>Data do Afastamento:</t>
    </r>
    <r>
      <rPr>
        <b/>
        <sz val="8"/>
        <rFont val="Tahoma"/>
        <family val="2"/>
      </rPr>
      <t xml:space="preserve"> 07/08/2011</t>
    </r>
    <r>
      <rPr>
        <sz val="8"/>
        <rFont val="Tahoma"/>
        <family val="2"/>
      </rPr>
      <t xml:space="preserve">             Distribuição:</t>
    </r>
    <r>
      <rPr>
        <b/>
        <sz val="8"/>
        <rFont val="Tahoma"/>
        <family val="2"/>
      </rPr>
      <t xml:space="preserve"> 30/01/2012</t>
    </r>
  </si>
  <si>
    <t>Saldo de Salários Julho/2011</t>
  </si>
  <si>
    <t>13º Salário Proporcional</t>
  </si>
  <si>
    <t>+ 40%</t>
  </si>
  <si>
    <t>Férias+1/3</t>
  </si>
  <si>
    <t>Aviso Prévio</t>
  </si>
  <si>
    <t>Base FGTS/INSS</t>
  </si>
  <si>
    <t>12</t>
  </si>
  <si>
    <t>06</t>
  </si>
  <si>
    <t>07</t>
  </si>
  <si>
    <t>09</t>
  </si>
  <si>
    <t>30</t>
  </si>
  <si>
    <t>(C.5 % 11,2)</t>
  </si>
  <si>
    <t>(C.5 + C.6)</t>
  </si>
  <si>
    <t>(C.9 + C.11)</t>
  </si>
  <si>
    <t>(C.9 % C.10)</t>
  </si>
  <si>
    <t>Número</t>
  </si>
  <si>
    <t>Seguro</t>
  </si>
  <si>
    <t xml:space="preserve">de </t>
  </si>
  <si>
    <t>Corr. Monetária</t>
  </si>
  <si>
    <t>Desemprego</t>
  </si>
  <si>
    <t xml:space="preserve">devidos em </t>
  </si>
  <si>
    <t xml:space="preserve">Vigente em </t>
  </si>
  <si>
    <t>(C. 2 x C. 3)</t>
  </si>
  <si>
    <t>(C.4 x C.5)</t>
  </si>
  <si>
    <t>(C.6 x C.7)</t>
  </si>
  <si>
    <t>(C.6 + C.8)</t>
  </si>
  <si>
    <r>
      <t>Título:</t>
    </r>
    <r>
      <rPr>
        <b/>
        <sz val="8"/>
        <rFont val="Tahoma"/>
        <family val="2"/>
      </rPr>
      <t xml:space="preserve"> INDENIZAÇÃO SUBSTITUTIVA PELO NÃO RECEBIMENTO DO SEGURO - DESEMPREGO  </t>
    </r>
  </si>
  <si>
    <t>Juros devidos</t>
  </si>
  <si>
    <t>Salário Nominal</t>
  </si>
  <si>
    <t>Cálculo FGTS</t>
  </si>
  <si>
    <t xml:space="preserve">conforme </t>
  </si>
  <si>
    <t>(C.2+C.3+C.4)</t>
  </si>
  <si>
    <t>de 30/01/2012</t>
  </si>
  <si>
    <r>
      <t>Título:</t>
    </r>
    <r>
      <rPr>
        <b/>
        <sz val="8"/>
        <rFont val="Tahoma"/>
        <family val="2"/>
      </rPr>
      <t xml:space="preserve"> DIFERENÇAS DO VALE TRANSPORTE NO FORMATO APONTADO NA INICIAL QUANTO AOS MESES NÃO COMPROVADOS</t>
    </r>
  </si>
  <si>
    <t>Juros em</t>
  </si>
  <si>
    <r>
      <t>Título:</t>
    </r>
    <r>
      <rPr>
        <b/>
        <sz val="8"/>
        <rFont val="Tahoma"/>
        <family val="2"/>
      </rPr>
      <t xml:space="preserve"> LEVANTAMENTO DOS VALORES PARA DESCONTO DO INSS</t>
    </r>
  </si>
  <si>
    <t>Valor das</t>
  </si>
  <si>
    <t>Horas Extras</t>
  </si>
  <si>
    <t>Feriados</t>
  </si>
  <si>
    <t>Anexo 02</t>
  </si>
  <si>
    <t>(C.2+3+4+5+6+7)</t>
  </si>
  <si>
    <t xml:space="preserve">Salário </t>
  </si>
  <si>
    <t>Excedentes</t>
  </si>
  <si>
    <t>com Adicional</t>
  </si>
  <si>
    <t>Diferenças</t>
  </si>
  <si>
    <t>Adicional</t>
  </si>
  <si>
    <t>Noturno</t>
  </si>
  <si>
    <t xml:space="preserve">Valor </t>
  </si>
  <si>
    <t>DSR's</t>
  </si>
  <si>
    <t xml:space="preserve">sobre </t>
  </si>
  <si>
    <t xml:space="preserve">Horas </t>
  </si>
  <si>
    <t>Reflexos</t>
  </si>
  <si>
    <t>em 13º Sal.,</t>
  </si>
  <si>
    <t>Férias + 1/3,</t>
  </si>
  <si>
    <t>Av. Prévio...</t>
  </si>
  <si>
    <t>extraído</t>
  </si>
  <si>
    <t xml:space="preserve">           (Período 01/09 até 08/2011)</t>
  </si>
  <si>
    <t>13º Sal.</t>
  </si>
  <si>
    <t>13º Sal</t>
  </si>
  <si>
    <t>8%</t>
  </si>
  <si>
    <t>(C.5 % 8)</t>
  </si>
  <si>
    <t>Multa 40%</t>
  </si>
  <si>
    <t>Pago</t>
  </si>
  <si>
    <t>Recibos</t>
  </si>
  <si>
    <t>Extraído dos</t>
  </si>
  <si>
    <t>( 15 )</t>
  </si>
  <si>
    <t>(C.10 x C.11)</t>
  </si>
  <si>
    <t>(C.12%C.13)</t>
  </si>
  <si>
    <t>(C.12+C.14)</t>
  </si>
  <si>
    <t>(C.8 x C.9)</t>
  </si>
  <si>
    <t>(C.10%C.11)</t>
  </si>
  <si>
    <t>Título: APURAÇÃO DA INDENIZAÇÃO DE 40% FGTS</t>
  </si>
  <si>
    <t>Apuração</t>
  </si>
  <si>
    <t>Devido</t>
  </si>
  <si>
    <t>(C.6 % 40)</t>
  </si>
  <si>
    <t>Título: DEPÓSITO EVENTUAIS DIFERENÇAS DO FGTS DE TODO O PERÍODO CONTRATUAL</t>
  </si>
  <si>
    <t xml:space="preserve">FGTS + </t>
  </si>
  <si>
    <t>das Horas</t>
  </si>
  <si>
    <t>Horas</t>
  </si>
  <si>
    <t>e  FGTS</t>
  </si>
  <si>
    <t xml:space="preserve">Extras </t>
  </si>
  <si>
    <t>Extras</t>
  </si>
  <si>
    <t xml:space="preserve">+  Multa </t>
  </si>
  <si>
    <t>Corr. Monet. E</t>
  </si>
  <si>
    <t>Juros Devidos em</t>
  </si>
  <si>
    <t>Devidas</t>
  </si>
  <si>
    <t>(C.8%11,2)</t>
  </si>
  <si>
    <t>(C.8+C.9)</t>
  </si>
  <si>
    <t>(C.10xC.11)</t>
  </si>
  <si>
    <t>FGTS Corrigido</t>
  </si>
  <si>
    <t xml:space="preserve">DSR´s </t>
  </si>
  <si>
    <t>Úteis</t>
  </si>
  <si>
    <t>e</t>
  </si>
  <si>
    <t xml:space="preserve"> Multa 40%</t>
  </si>
  <si>
    <t xml:space="preserve">DSR's </t>
  </si>
  <si>
    <t>Devidos</t>
  </si>
  <si>
    <r>
      <t>Título:</t>
    </r>
    <r>
      <rPr>
        <b/>
        <sz val="8"/>
        <rFont val="Tahoma"/>
        <family val="2"/>
      </rPr>
      <t xml:space="preserve"> REFLEXOS DAS HORAS EXTRAS EXCEDENTES - HORAS EXTRAS INTERJORNADAS E ADICIONAL NOTURNO NOS DSR´s</t>
    </r>
  </si>
  <si>
    <t xml:space="preserve">Número </t>
  </si>
  <si>
    <t>Média</t>
  </si>
  <si>
    <t>Valores dos reflexos</t>
  </si>
  <si>
    <t>por</t>
  </si>
  <si>
    <t>das</t>
  </si>
  <si>
    <t>13.º salários,</t>
  </si>
  <si>
    <t>e Multa</t>
  </si>
  <si>
    <t>Férias e</t>
  </si>
  <si>
    <t>de 40%</t>
  </si>
  <si>
    <t>com Multa</t>
  </si>
  <si>
    <t>1/3 sobre</t>
  </si>
  <si>
    <t>(C.5xC.6:C.7)</t>
  </si>
  <si>
    <t>(C.13%C.12)</t>
  </si>
  <si>
    <t>(C.11+C.13)</t>
  </si>
  <si>
    <t>13º Salário/2009</t>
  </si>
  <si>
    <t>13º Salário/2010</t>
  </si>
  <si>
    <t>Férias Prop./2011</t>
  </si>
  <si>
    <t>Base Cálculo INSS</t>
  </si>
  <si>
    <t>( 16 )</t>
  </si>
  <si>
    <t>e FGTS</t>
  </si>
  <si>
    <t>com multa</t>
  </si>
  <si>
    <r>
      <t>Título:</t>
    </r>
    <r>
      <rPr>
        <b/>
        <sz val="8"/>
        <rFont val="Tahoma"/>
        <family val="2"/>
      </rPr>
      <t xml:space="preserve"> DIFERENÇAS DE ADICIONAL NOTURNO NA ORDEM DE 20% COM DEDUÇÃO DE VALORES EFETIVAMENTE PAGOS ENTRE VERBAS DA MESMA NATUREZA</t>
    </r>
  </si>
  <si>
    <t>Interjornadas</t>
  </si>
  <si>
    <t xml:space="preserve">do </t>
  </si>
  <si>
    <t>60%</t>
  </si>
  <si>
    <t>100%</t>
  </si>
  <si>
    <t>(C.6+C.7+C.8)</t>
  </si>
  <si>
    <t>30/01/2012 à</t>
  </si>
  <si>
    <t>Pagamento</t>
  </si>
  <si>
    <t xml:space="preserve">cfm </t>
  </si>
  <si>
    <t>( 17 )</t>
  </si>
  <si>
    <t>( 18 )</t>
  </si>
  <si>
    <t>(C.11%11,2)</t>
  </si>
  <si>
    <t>(C.11+C.12)</t>
  </si>
  <si>
    <t>(C.13xC.14)</t>
  </si>
  <si>
    <t>(C.15%C.16)</t>
  </si>
  <si>
    <t>(C.15+C.17)</t>
  </si>
  <si>
    <t>Noturnas</t>
  </si>
  <si>
    <t>Labutadas</t>
  </si>
  <si>
    <t>do</t>
  </si>
  <si>
    <t>(C.2 % 20)</t>
  </si>
  <si>
    <t>(C.3*C.4)</t>
  </si>
  <si>
    <t>Anexo 03</t>
  </si>
  <si>
    <t>(C.2 + C.3)</t>
  </si>
  <si>
    <t>(C.7%11,2)</t>
  </si>
  <si>
    <t>(C.7+C.8)</t>
  </si>
  <si>
    <t>(C.9 x C.10)</t>
  </si>
  <si>
    <t>(C.11%C.12)</t>
  </si>
  <si>
    <r>
      <t>Título:</t>
    </r>
    <r>
      <rPr>
        <b/>
        <sz val="8"/>
        <rFont val="Tahoma"/>
        <family val="2"/>
      </rPr>
      <t xml:space="preserve"> REFLEXOS DAS HORAS EXTRAS EXCEDENTES E HORAS INTERJORNADAS SOBRE 13º SALÁRIO, FÉRIAS + 1/3, AVISO PRÉVIO E FGTS COM MULTA DE 40%</t>
    </r>
  </si>
  <si>
    <t>em Horas</t>
  </si>
  <si>
    <t>13º Salário Prop./2011</t>
  </si>
  <si>
    <t>Férias Vencidas/2011</t>
  </si>
  <si>
    <t>Férias Vencidas/2010</t>
  </si>
  <si>
    <t xml:space="preserve">                        TABELA DO IRF 2015 - VIGÊNCIA A PARTIR DE 01.01.2015</t>
  </si>
  <si>
    <t xml:space="preserve">                        Medida Provisória 644/2014</t>
  </si>
  <si>
    <t>Até 1.868,22</t>
  </si>
  <si>
    <t>De 1.868,23 até 2.799,86</t>
  </si>
  <si>
    <t>De 2.799,87 até 3.733,19</t>
  </si>
  <si>
    <t>De 3.733,20 até 4.664,68</t>
  </si>
  <si>
    <t>Acima de 4.664,68</t>
  </si>
  <si>
    <r>
      <t>Dedução por Dependente:</t>
    </r>
    <r>
      <rPr>
        <i/>
        <sz val="8"/>
        <rFont val="Tahoma"/>
        <family val="2"/>
      </rPr>
      <t> </t>
    </r>
    <r>
      <rPr>
        <sz val="8"/>
        <rFont val="Tahoma"/>
        <family val="2"/>
      </rPr>
      <t>R$ 187,80 (Cento e Oitenta e Sete Reais e Oitenta Centavos).</t>
    </r>
  </si>
  <si>
    <t>ISENTO</t>
  </si>
  <si>
    <t>HORAS EXTRAS EXCEDENTES E INTERJORNADA (Anexo 02)</t>
  </si>
  <si>
    <t>DIFERENÇAS ADICIONAL NOTURNO E REFLEXOS (Anexo 03)</t>
  </si>
  <si>
    <t>REFLEXOS HORAS EXCEDENTES/INTERJORNADA/AD. NOTURNO EM DSR'S (Anexo 04)</t>
  </si>
  <si>
    <t>REFLEXOS HS EXCEDENTES E INTERJORNADA EM 13º SAL., FÉRIAS... (Anexo 05)</t>
  </si>
  <si>
    <t>CORREÇÃO MONETÁRIA..................................................................................................…...............................................................................</t>
  </si>
  <si>
    <t>VERBAS RESCISÓRIAS (Anexo 06)</t>
  </si>
  <si>
    <t>INDENIZAÇÃO SUBSTITUTIVA SEGURO DESEMPREGO (Anexo 07)</t>
  </si>
  <si>
    <t>MULTA ARTIGO 477 CLT (Anexo 08)</t>
  </si>
  <si>
    <t>DIFERENÇAS FGTS (Anexo 09)</t>
  </si>
  <si>
    <t>INDENIZAÇÃO FGTS 40% (Anexo 10)</t>
  </si>
  <si>
    <t>DIFERENÇAS VALE TRANSPORTE (Anexo 11)</t>
  </si>
  <si>
    <t>XXI</t>
  </si>
  <si>
    <t>XXII</t>
  </si>
  <si>
    <t>XXIII</t>
  </si>
  <si>
    <t>XXIV</t>
  </si>
  <si>
    <t>XXV</t>
  </si>
  <si>
    <t>XXVI</t>
  </si>
  <si>
    <t>XXVII</t>
  </si>
  <si>
    <t>XXVIII</t>
  </si>
  <si>
    <t>XXIX</t>
  </si>
  <si>
    <t>XXX</t>
  </si>
  <si>
    <t>XXXI</t>
  </si>
  <si>
    <t>XXXII</t>
  </si>
  <si>
    <t>XXXIII</t>
  </si>
  <si>
    <t>XXXIV</t>
  </si>
  <si>
    <t>XXXV</t>
  </si>
  <si>
    <t>XXXVI</t>
  </si>
  <si>
    <t>XXXVII</t>
  </si>
  <si>
    <t>XXXVIII</t>
  </si>
  <si>
    <t>XXXIX</t>
  </si>
  <si>
    <t>XL</t>
  </si>
  <si>
    <t>XLI</t>
  </si>
  <si>
    <t>XLIV  - TOTAL COM DESCONTOS - Vigente em</t>
  </si>
  <si>
    <t>XLV     - Demonstrativo dos Encargos a serem pagos para o INSS sobre o salário de contribuição</t>
  </si>
  <si>
    <t>XLII   - DESCONTO DO INSS (Parte do Reclamante)...............................................</t>
  </si>
  <si>
    <t>XLIII  - DESCONTO DO IRRF (Anexos 15)......................................................................</t>
  </si>
  <si>
    <t>Salário de contribuição (Anexo 14 - col.08)................................................................................................................</t>
  </si>
  <si>
    <r>
      <t>Título:</t>
    </r>
    <r>
      <rPr>
        <b/>
        <sz val="8"/>
        <rFont val="Tahoma"/>
        <family val="2"/>
      </rPr>
      <t xml:space="preserve"> HORAS EXTRAS EXCEDENTES À 8ª HORA DIÁRIA E 44ª SEMANAL - HORAS EXTRAS INTERJORNADAS COM DEDUÇÃO DOS VALORES EFETIVAMENTE PAGOS ENTRE VERBAS DA MESMA NATUREZA</t>
    </r>
  </si>
  <si>
    <t>ATÉ 31 DE DEZEMBRO DE 2014 - PARA 1º DE JANEIRO DE 2015*</t>
  </si>
  <si>
    <r>
      <t xml:space="preserve">*TR prefixada de 1º dezembro/2014 a 1º janeiro/2015 (Banco Central) = </t>
    </r>
    <r>
      <rPr>
        <b/>
        <sz val="14"/>
        <color indexed="14"/>
        <rFont val="Calibri"/>
        <family val="2"/>
      </rPr>
      <t>0,10530%</t>
    </r>
  </si>
  <si>
    <t>Recolhido</t>
  </si>
  <si>
    <t>cfm fls</t>
  </si>
  <si>
    <t>autos</t>
  </si>
  <si>
    <t>2ª Parc. 13º</t>
  </si>
  <si>
    <t>1ª Parc.13º</t>
  </si>
  <si>
    <t>(C.2+C.3)</t>
  </si>
  <si>
    <t>(C.4 % 8)</t>
  </si>
  <si>
    <t>(C.5 - C.6)</t>
  </si>
  <si>
    <t>(C.7 % 11,2)</t>
  </si>
  <si>
    <t>(C.7 + C.8)</t>
  </si>
  <si>
    <t>(C.11 % C.12)</t>
  </si>
  <si>
    <t>(C.11 + C.13)</t>
  </si>
  <si>
    <t>Col. 7</t>
  </si>
  <si>
    <t>Férias Proporcionais + 1/3</t>
  </si>
  <si>
    <t>Col. 09</t>
  </si>
  <si>
    <r>
      <t>Reclamante:</t>
    </r>
    <r>
      <rPr>
        <b/>
        <sz val="8"/>
        <rFont val="Tahoma"/>
        <family val="2"/>
      </rPr>
      <t xml:space="preserve"> xxxxxxxxxxxxxxx</t>
    </r>
  </si>
  <si>
    <r>
      <t>3ª Reclamada:</t>
    </r>
    <r>
      <rPr>
        <b/>
        <sz val="8"/>
        <rFont val="Tahoma"/>
        <family val="2"/>
      </rPr>
      <t xml:space="preserve"> xxxxxxxxxxxxxx</t>
    </r>
  </si>
  <si>
    <r>
      <t xml:space="preserve">1ª Reclamada: </t>
    </r>
    <r>
      <rPr>
        <b/>
        <sz val="8"/>
        <rFont val="Tahoma"/>
        <family val="2"/>
      </rPr>
      <t>xxxxxxxxxxxxxxx</t>
    </r>
  </si>
  <si>
    <r>
      <t xml:space="preserve">2ª Reclamada: </t>
    </r>
    <r>
      <rPr>
        <b/>
        <sz val="8"/>
        <rFont val="Tahoma"/>
        <family val="2"/>
      </rPr>
      <t>xxxxxxxxxxxxxxx</t>
    </r>
  </si>
  <si>
    <r>
      <t xml:space="preserve">Processo: </t>
    </r>
    <r>
      <rPr>
        <b/>
        <sz val="8"/>
        <rFont val="Tahoma"/>
        <family val="2"/>
      </rPr>
      <t>xxxxxxxxxxxxxxx -  xxxª Vara do Trabalho de xxxxxxxxxx</t>
    </r>
  </si>
  <si>
    <t xml:space="preserve">   "Planilha elaborada pela equipe do Escritório Sentença Assessoria"</t>
  </si>
  <si>
    <t>"Todos os direitos reservados à Sentença Assessoria"</t>
  </si>
  <si>
    <t>www.sentenca.com.br</t>
  </si>
  <si>
    <t xml:space="preserve">                                                                                     "Planilha elaborada pela equipe do Escritório Sentença Assessoria"</t>
  </si>
  <si>
    <r>
      <t xml:space="preserve">Admissão : </t>
    </r>
    <r>
      <rPr>
        <b/>
        <sz val="8"/>
        <rFont val="Tahoma"/>
        <family val="2"/>
      </rPr>
      <t xml:space="preserve">12/01/2009           </t>
    </r>
    <r>
      <rPr>
        <sz val="8"/>
        <rFont val="Tahoma"/>
        <family val="2"/>
      </rPr>
      <t xml:space="preserve">    Data do Aviso Prévio :</t>
    </r>
    <r>
      <rPr>
        <b/>
        <sz val="8"/>
        <rFont val="Tahoma"/>
        <family val="2"/>
      </rPr>
      <t xml:space="preserve"> 09/07/2011                 </t>
    </r>
    <r>
      <rPr>
        <sz val="8"/>
        <rFont val="Tahoma"/>
        <family val="2"/>
      </rPr>
      <t xml:space="preserve"> Data do Afastamento</t>
    </r>
    <r>
      <rPr>
        <b/>
        <sz val="8"/>
        <rFont val="Tahoma"/>
        <family val="2"/>
      </rPr>
      <t xml:space="preserve">: 07/08/2011               </t>
    </r>
    <r>
      <rPr>
        <sz val="8"/>
        <rFont val="Tahoma"/>
        <family val="2"/>
      </rPr>
      <t>Distribuição</t>
    </r>
    <r>
      <rPr>
        <b/>
        <sz val="8"/>
        <rFont val="Tahoma"/>
        <family val="2"/>
      </rPr>
      <t>: 30/01/2012</t>
    </r>
  </si>
  <si>
    <t xml:space="preserve">                                         "Planilha elaborada pela equipe do Escritório Sentença Assessoria"</t>
  </si>
  <si>
    <t xml:space="preserve">                        "Planilha elaborada pela equipe do Escritório Sentença Assessoria"</t>
  </si>
  <si>
    <t>xxxxxx</t>
  </si>
  <si>
    <t xml:space="preserve">                "Planilha elaborada pela equipe do Escritório Sentença Assessoria"</t>
  </si>
  <si>
    <t xml:space="preserve">                                                  "Planilha elaborada pela equipe do Escritório Sentença Assessoria"</t>
  </si>
  <si>
    <t xml:space="preserve">                                                         "Planilha elaborada pela equipe do Escritório Sentença Assessoria"</t>
  </si>
  <si>
    <t xml:space="preserve">                                                             "Planilha elaborada pela equipe do Escritório Sentença Assessoria"</t>
  </si>
  <si>
    <r>
      <t xml:space="preserve">Admissão : </t>
    </r>
    <r>
      <rPr>
        <b/>
        <sz val="8"/>
        <rFont val="Tahoma"/>
        <family val="2"/>
      </rPr>
      <t xml:space="preserve">12/01/2009        </t>
    </r>
    <r>
      <rPr>
        <sz val="8"/>
        <rFont val="Tahoma"/>
        <family val="2"/>
      </rPr>
      <t xml:space="preserve">  Data do Aviso Prévio :</t>
    </r>
    <r>
      <rPr>
        <b/>
        <sz val="8"/>
        <rFont val="Tahoma"/>
        <family val="2"/>
      </rPr>
      <t xml:space="preserve"> 09/07/2011         </t>
    </r>
    <r>
      <rPr>
        <sz val="8"/>
        <rFont val="Tahoma"/>
        <family val="2"/>
      </rPr>
      <t xml:space="preserve"> Data do Afastamento</t>
    </r>
    <r>
      <rPr>
        <b/>
        <sz val="8"/>
        <rFont val="Tahoma"/>
        <family val="2"/>
      </rPr>
      <t xml:space="preserve">: 07/08/2011          </t>
    </r>
    <r>
      <rPr>
        <sz val="8"/>
        <rFont val="Tahoma"/>
        <family val="2"/>
      </rPr>
      <t>Distribuição</t>
    </r>
    <r>
      <rPr>
        <b/>
        <sz val="8"/>
        <rFont val="Tahoma"/>
        <family val="2"/>
      </rPr>
      <t>: 30/01/2012</t>
    </r>
  </si>
  <si>
    <t xml:space="preserve">                                                 "Planilha elaborada pela equipe do Escritório Sentença Assessoria"</t>
  </si>
  <si>
    <r>
      <t xml:space="preserve">Admissão : </t>
    </r>
    <r>
      <rPr>
        <b/>
        <sz val="8"/>
        <rFont val="Tahoma"/>
        <family val="2"/>
      </rPr>
      <t xml:space="preserve">12/01/2009         </t>
    </r>
    <r>
      <rPr>
        <sz val="8"/>
        <rFont val="Tahoma"/>
        <family val="2"/>
      </rPr>
      <t xml:space="preserve">    Data do Aviso Prévio :</t>
    </r>
    <r>
      <rPr>
        <b/>
        <sz val="8"/>
        <rFont val="Tahoma"/>
        <family val="2"/>
      </rPr>
      <t xml:space="preserve"> 09/07/2011            </t>
    </r>
    <r>
      <rPr>
        <sz val="8"/>
        <rFont val="Tahoma"/>
        <family val="2"/>
      </rPr>
      <t xml:space="preserve"> Data do Afastamento</t>
    </r>
    <r>
      <rPr>
        <b/>
        <sz val="8"/>
        <rFont val="Tahoma"/>
        <family val="2"/>
      </rPr>
      <t xml:space="preserve">: 07/08/2011           </t>
    </r>
    <r>
      <rPr>
        <sz val="8"/>
        <rFont val="Tahoma"/>
        <family val="2"/>
      </rPr>
      <t>Distribuição</t>
    </r>
    <r>
      <rPr>
        <b/>
        <sz val="8"/>
        <rFont val="Tahoma"/>
        <family val="2"/>
      </rPr>
      <t>: 30/01/2012</t>
    </r>
  </si>
  <si>
    <t xml:space="preserve">                                       "Planilha elaborada pela equipe do Escritório Sentença Assessoria"</t>
  </si>
  <si>
    <t xml:space="preserve">                                                                          "Planilha elaborada pela equipe do Escritório Sentença Assessoria"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</si>
</sst>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&quot;R$&quot;* #,##0_);_(&quot;R$&quot;* \(#,##0\);_(&quot;R$&quot;* &quot;-&quot;_);_(@_)"/>
    <numFmt numFmtId="167" formatCode="_(&quot;R$&quot;* #,##0.00_);_(&quot;R$&quot;* \(#,##0.00\);_(&quot;R$&quot;* &quot;-&quot;??_);_(@_)"/>
    <numFmt numFmtId="168" formatCode="0.00000000"/>
    <numFmt numFmtId="169" formatCode="#,##0.000000"/>
    <numFmt numFmtId="170" formatCode="0.0%"/>
    <numFmt numFmtId="171" formatCode="mmmm\-yyyy"/>
    <numFmt numFmtId="172" formatCode="_(* #,##0.000000_);_(* \(#,##0.000000\);_(* &quot;-&quot;??_);_(@_)"/>
    <numFmt numFmtId="173" formatCode="_(* #,##0_);_(* \(#,##0\);_(* &quot;-&quot;??_);_(@_)"/>
    <numFmt numFmtId="174" formatCode="_(* #,##0.0000000_);_(* \(#,##0.0000000\);_(* &quot;-&quot;??_);_(@_)"/>
    <numFmt numFmtId="175" formatCode="_(* #,##0.00000000_);_(* \(#,##0.00000000\);_(* &quot;-&quot;??_);_(@_)"/>
    <numFmt numFmtId="176" formatCode="#,##0.000000000"/>
    <numFmt numFmtId="177" formatCode="_(* #,##0.000000000_);_(* \(#,##0.000000000\);_(* &quot;-&quot;??_);_(@_)"/>
    <numFmt numFmtId="178" formatCode="[$-416]dddd\,\ d&quot; de &quot;mmmm&quot; de &quot;yyyy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00000000"/>
    <numFmt numFmtId="185" formatCode="#,##0.0000"/>
    <numFmt numFmtId="186" formatCode="#,##0.00000000"/>
    <numFmt numFmtId="187" formatCode="#,##0.0000000000"/>
    <numFmt numFmtId="188" formatCode="_-* #,##0.000000000_-;\-* #,##0.000000000_-;_-* &quot;-&quot;?????????_-;_-@_-"/>
    <numFmt numFmtId="189" formatCode="dd/mm/yy;@"/>
  </numFmts>
  <fonts count="70">
    <font>
      <sz val="8"/>
      <name val="Tahoma"/>
      <family val="2"/>
    </font>
    <font>
      <sz val="10"/>
      <name val="Arial"/>
      <family val="0"/>
    </font>
    <font>
      <b/>
      <i/>
      <sz val="8"/>
      <name val="Tahoma"/>
      <family val="2"/>
    </font>
    <font>
      <b/>
      <sz val="8"/>
      <name val="Tahoma"/>
      <family val="2"/>
    </font>
    <font>
      <b/>
      <u val="single"/>
      <sz val="14"/>
      <name val="Tahoma"/>
      <family val="2"/>
    </font>
    <font>
      <i/>
      <sz val="8"/>
      <name val="Tahoma"/>
      <family val="2"/>
    </font>
    <font>
      <sz val="7"/>
      <name val="Tahoma"/>
      <family val="2"/>
    </font>
    <font>
      <b/>
      <sz val="10"/>
      <name val="Tahoma"/>
      <family val="2"/>
    </font>
    <font>
      <b/>
      <sz val="7"/>
      <name val="Tahoma"/>
      <family val="2"/>
    </font>
    <font>
      <sz val="8"/>
      <color indexed="9"/>
      <name val="Tahoma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9"/>
      <name val="Tahoma"/>
      <family val="2"/>
    </font>
    <font>
      <sz val="8"/>
      <name val="Arial"/>
      <family val="2"/>
    </font>
    <font>
      <sz val="7.5"/>
      <name val="Tahoma"/>
      <family val="2"/>
    </font>
    <font>
      <b/>
      <i/>
      <sz val="11"/>
      <name val="Calibri"/>
      <family val="2"/>
    </font>
    <font>
      <b/>
      <sz val="14"/>
      <color indexed="14"/>
      <name val="Calibri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Tahoma"/>
      <family val="2"/>
    </font>
    <font>
      <sz val="8"/>
      <color indexed="8"/>
      <name val="Tahoma"/>
      <family val="2"/>
    </font>
    <font>
      <sz val="12"/>
      <color indexed="8"/>
      <name val="Times New Roman"/>
      <family val="1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i/>
      <sz val="10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Tahoma"/>
      <family val="2"/>
    </font>
    <font>
      <sz val="8"/>
      <color rgb="FF000000"/>
      <name val="Tahoma"/>
      <family val="2"/>
    </font>
    <font>
      <sz val="12"/>
      <color rgb="FF000000"/>
      <name val="Times New Roman"/>
      <family val="1"/>
    </font>
    <font>
      <b/>
      <sz val="8"/>
      <color rgb="FFFFFFFF"/>
      <name val="Tahoma"/>
      <family val="2"/>
    </font>
    <font>
      <b/>
      <sz val="8"/>
      <color rgb="FF000000"/>
      <name val="Tahoma"/>
      <family val="2"/>
    </font>
    <font>
      <sz val="8"/>
      <color theme="1"/>
      <name val="Tahoma"/>
      <family val="2"/>
    </font>
    <font>
      <b/>
      <i/>
      <sz val="10"/>
      <color rgb="FFFF0000"/>
      <name val="Tahom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double"/>
      <right style="hair"/>
      <top style="double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hair"/>
      <right style="thin"/>
      <top>
        <color indexed="63"/>
      </top>
      <bottom style="double"/>
    </border>
    <border>
      <left style="medium"/>
      <right/>
      <top/>
      <bottom/>
    </border>
    <border>
      <left>
        <color indexed="63"/>
      </left>
      <right>
        <color indexed="63"/>
      </right>
      <top style="double"/>
      <bottom style="hair">
        <color indexed="22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>
        <color indexed="63"/>
      </right>
      <top style="double"/>
      <bottom style="thin"/>
    </border>
    <border>
      <left>
        <color indexed="63"/>
      </left>
      <right style="hair"/>
      <top style="double"/>
      <bottom style="thin"/>
    </border>
  </borders>
  <cellStyleXfs count="63">
    <xf numFmtId="4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2" fillId="29" borderId="1" applyNumberFormat="0" applyAlignment="0" applyProtection="0"/>
    <xf numFmtId="0" fontId="22" fillId="0" borderId="0" applyNumberFormat="0" applyFill="0" applyBorder="0" applyAlignment="0" applyProtection="0"/>
    <xf numFmtId="0" fontId="53" fillId="30" borderId="0" applyNumberFormat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54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55" fillId="21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</cellStyleXfs>
  <cellXfs count="631">
    <xf numFmtId="4" fontId="0" fillId="0" borderId="0" xfId="0" applyAlignment="1">
      <alignment horizontal="center" vertical="center"/>
    </xf>
    <xf numFmtId="0" fontId="0" fillId="33" borderId="0" xfId="0" applyNumberFormat="1" applyFont="1" applyFill="1" applyAlignment="1">
      <alignment/>
    </xf>
    <xf numFmtId="49" fontId="3" fillId="33" borderId="10" xfId="0" applyNumberFormat="1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0" fillId="0" borderId="11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/>
    </xf>
    <xf numFmtId="0" fontId="0" fillId="0" borderId="12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/>
    </xf>
    <xf numFmtId="49" fontId="3" fillId="0" borderId="13" xfId="0" applyNumberFormat="1" applyFont="1" applyBorder="1" applyAlignment="1">
      <alignment horizontal="centerContinuous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14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 horizontal="center"/>
    </xf>
    <xf numFmtId="165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0" fontId="0" fillId="0" borderId="17" xfId="0" applyNumberFormat="1" applyFont="1" applyFill="1" applyBorder="1" applyAlignment="1">
      <alignment horizontal="center"/>
    </xf>
    <xf numFmtId="0" fontId="0" fillId="0" borderId="18" xfId="0" applyNumberFormat="1" applyFont="1" applyFill="1" applyBorder="1" applyAlignment="1">
      <alignment horizontal="center"/>
    </xf>
    <xf numFmtId="0" fontId="0" fillId="0" borderId="19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 horizontal="center"/>
    </xf>
    <xf numFmtId="0" fontId="0" fillId="0" borderId="21" xfId="0" applyNumberFormat="1" applyFont="1" applyFill="1" applyBorder="1" applyAlignment="1">
      <alignment horizontal="center"/>
    </xf>
    <xf numFmtId="0" fontId="0" fillId="0" borderId="22" xfId="0" applyNumberFormat="1" applyFont="1" applyFill="1" applyBorder="1" applyAlignment="1">
      <alignment horizontal="center"/>
    </xf>
    <xf numFmtId="0" fontId="0" fillId="0" borderId="0" xfId="0" applyNumberFormat="1" applyFont="1" applyAlignment="1" quotePrefix="1">
      <alignment horizontal="left"/>
    </xf>
    <xf numFmtId="0" fontId="0" fillId="0" borderId="0" xfId="0" applyNumberFormat="1" applyFont="1" applyAlignment="1">
      <alignment horizontal="left"/>
    </xf>
    <xf numFmtId="0" fontId="0" fillId="0" borderId="23" xfId="0" applyNumberFormat="1" applyFont="1" applyBorder="1" applyAlignment="1">
      <alignment/>
    </xf>
    <xf numFmtId="0" fontId="0" fillId="0" borderId="24" xfId="0" applyNumberFormat="1" applyFont="1" applyBorder="1" applyAlignment="1">
      <alignment/>
    </xf>
    <xf numFmtId="0" fontId="0" fillId="0" borderId="24" xfId="0" applyNumberFormat="1" applyFont="1" applyBorder="1" applyAlignment="1">
      <alignment horizontal="right"/>
    </xf>
    <xf numFmtId="0" fontId="0" fillId="0" borderId="25" xfId="0" applyNumberFormat="1" applyFont="1" applyBorder="1" applyAlignment="1">
      <alignment/>
    </xf>
    <xf numFmtId="0" fontId="0" fillId="0" borderId="26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0" fillId="0" borderId="27" xfId="0" applyNumberFormat="1" applyFont="1" applyBorder="1" applyAlignment="1">
      <alignment/>
    </xf>
    <xf numFmtId="0" fontId="2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 horizontal="right"/>
    </xf>
    <xf numFmtId="0" fontId="0" fillId="0" borderId="28" xfId="0" applyNumberFormat="1" applyFont="1" applyBorder="1" applyAlignment="1">
      <alignment/>
    </xf>
    <xf numFmtId="0" fontId="0" fillId="0" borderId="28" xfId="0" applyNumberFormat="1" applyFont="1" applyBorder="1" applyAlignment="1">
      <alignment horizontal="right"/>
    </xf>
    <xf numFmtId="14" fontId="3" fillId="0" borderId="0" xfId="0" applyNumberFormat="1" applyFont="1" applyBorder="1" applyAlignment="1">
      <alignment horizontal="left"/>
    </xf>
    <xf numFmtId="165" fontId="3" fillId="0" borderId="0" xfId="53" applyFont="1" applyBorder="1" applyAlignment="1">
      <alignment/>
    </xf>
    <xf numFmtId="0" fontId="0" fillId="0" borderId="29" xfId="0" applyNumberFormat="1" applyFont="1" applyBorder="1" applyAlignment="1">
      <alignment/>
    </xf>
    <xf numFmtId="165" fontId="0" fillId="0" borderId="28" xfId="0" applyNumberFormat="1" applyFont="1" applyBorder="1" applyAlignment="1">
      <alignment/>
    </xf>
    <xf numFmtId="0" fontId="0" fillId="0" borderId="30" xfId="0" applyNumberFormat="1" applyFont="1" applyBorder="1" applyAlignment="1">
      <alignment/>
    </xf>
    <xf numFmtId="165" fontId="0" fillId="0" borderId="0" xfId="0" applyNumberFormat="1" applyFont="1" applyAlignment="1">
      <alignment horizontal="right"/>
    </xf>
    <xf numFmtId="165" fontId="0" fillId="0" borderId="0" xfId="0" applyNumberFormat="1" applyFont="1" applyAlignment="1" quotePrefix="1">
      <alignment horizontal="left"/>
    </xf>
    <xf numFmtId="14" fontId="3" fillId="33" borderId="18" xfId="0" applyNumberFormat="1" applyFont="1" applyFill="1" applyBorder="1" applyAlignment="1" quotePrefix="1">
      <alignment horizontal="center"/>
    </xf>
    <xf numFmtId="0" fontId="3" fillId="0" borderId="0" xfId="0" applyNumberFormat="1" applyFont="1" applyFill="1" applyAlignment="1">
      <alignment/>
    </xf>
    <xf numFmtId="4" fontId="0" fillId="0" borderId="0" xfId="0" applyFont="1" applyFill="1" applyBorder="1" applyAlignment="1">
      <alignment horizontal="left"/>
    </xf>
    <xf numFmtId="49" fontId="3" fillId="0" borderId="13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0" fillId="0" borderId="19" xfId="0" applyNumberFormat="1" applyFont="1" applyFill="1" applyBorder="1" applyAlignment="1">
      <alignment horizontal="center"/>
    </xf>
    <xf numFmtId="0" fontId="0" fillId="0" borderId="31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 horizontal="center"/>
    </xf>
    <xf numFmtId="0" fontId="0" fillId="0" borderId="32" xfId="0" applyNumberFormat="1" applyFont="1" applyFill="1" applyBorder="1" applyAlignment="1">
      <alignment horizontal="center"/>
    </xf>
    <xf numFmtId="0" fontId="0" fillId="0" borderId="21" xfId="0" applyNumberFormat="1" applyFont="1" applyFill="1" applyBorder="1" applyAlignment="1">
      <alignment horizontal="center"/>
    </xf>
    <xf numFmtId="0" fontId="0" fillId="0" borderId="18" xfId="0" applyNumberFormat="1" applyFont="1" applyFill="1" applyBorder="1" applyAlignment="1">
      <alignment horizontal="center"/>
    </xf>
    <xf numFmtId="0" fontId="0" fillId="0" borderId="22" xfId="0" applyNumberFormat="1" applyFont="1" applyFill="1" applyBorder="1" applyAlignment="1">
      <alignment horizontal="center"/>
    </xf>
    <xf numFmtId="172" fontId="0" fillId="0" borderId="18" xfId="0" applyNumberFormat="1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17" fontId="0" fillId="0" borderId="33" xfId="0" applyNumberFormat="1" applyFont="1" applyFill="1" applyBorder="1" applyAlignment="1">
      <alignment horizontal="right"/>
    </xf>
    <xf numFmtId="165" fontId="0" fillId="0" borderId="33" xfId="0" applyNumberFormat="1" applyFont="1" applyFill="1" applyBorder="1" applyAlignment="1">
      <alignment horizontal="right"/>
    </xf>
    <xf numFmtId="165" fontId="0" fillId="0" borderId="33" xfId="53" applyFont="1" applyFill="1" applyBorder="1" applyAlignment="1">
      <alignment horizontal="right"/>
    </xf>
    <xf numFmtId="165" fontId="0" fillId="0" borderId="33" xfId="53" applyFont="1" applyFill="1" applyBorder="1" applyAlignment="1">
      <alignment/>
    </xf>
    <xf numFmtId="165" fontId="0" fillId="0" borderId="0" xfId="53" applyFont="1" applyFill="1" applyAlignment="1">
      <alignment/>
    </xf>
    <xf numFmtId="0" fontId="0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center"/>
    </xf>
    <xf numFmtId="0" fontId="0" fillId="0" borderId="14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/>
    </xf>
    <xf numFmtId="0" fontId="5" fillId="0" borderId="34" xfId="0" applyNumberFormat="1" applyFont="1" applyFill="1" applyBorder="1" applyAlignment="1">
      <alignment horizontal="center"/>
    </xf>
    <xf numFmtId="0" fontId="5" fillId="0" borderId="35" xfId="0" applyNumberFormat="1" applyFont="1" applyFill="1" applyBorder="1" applyAlignment="1">
      <alignment horizontal="center"/>
    </xf>
    <xf numFmtId="4" fontId="0" fillId="0" borderId="0" xfId="0" applyAlignment="1">
      <alignment horizontal="left" vertical="center"/>
    </xf>
    <xf numFmtId="165" fontId="7" fillId="0" borderId="0" xfId="0" applyNumberFormat="1" applyFont="1" applyFill="1" applyAlignment="1">
      <alignment horizontal="right"/>
    </xf>
    <xf numFmtId="0" fontId="6" fillId="0" borderId="26" xfId="0" applyNumberFormat="1" applyFont="1" applyBorder="1" applyAlignment="1">
      <alignment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165" fontId="8" fillId="0" borderId="0" xfId="53" applyFont="1" applyBorder="1" applyAlignment="1">
      <alignment/>
    </xf>
    <xf numFmtId="0" fontId="6" fillId="0" borderId="27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165" fontId="6" fillId="0" borderId="0" xfId="0" applyNumberFormat="1" applyFont="1" applyFill="1" applyBorder="1" applyAlignment="1" quotePrefix="1">
      <alignment horizontal="center"/>
    </xf>
    <xf numFmtId="0" fontId="6" fillId="0" borderId="0" xfId="0" applyNumberFormat="1" applyFont="1" applyFill="1" applyBorder="1" applyAlignment="1" quotePrefix="1">
      <alignment horizontal="left"/>
    </xf>
    <xf numFmtId="14" fontId="8" fillId="0" borderId="0" xfId="0" applyNumberFormat="1" applyFont="1" applyFill="1" applyBorder="1" applyAlignment="1" quotePrefix="1">
      <alignment horizontal="center"/>
    </xf>
    <xf numFmtId="165" fontId="6" fillId="0" borderId="0" xfId="53" applyFont="1" applyFill="1" applyBorder="1" applyAlignment="1" quotePrefix="1">
      <alignment horizontal="center"/>
    </xf>
    <xf numFmtId="165" fontId="6" fillId="0" borderId="28" xfId="53" applyFont="1" applyFill="1" applyBorder="1" applyAlignment="1" quotePrefix="1">
      <alignment horizontal="center"/>
    </xf>
    <xf numFmtId="165" fontId="8" fillId="0" borderId="0" xfId="53" applyFont="1" applyFill="1" applyBorder="1" applyAlignment="1" quotePrefix="1">
      <alignment horizontal="center"/>
    </xf>
    <xf numFmtId="175" fontId="0" fillId="33" borderId="33" xfId="53" applyNumberFormat="1" applyFont="1" applyFill="1" applyBorder="1" applyAlignment="1">
      <alignment/>
    </xf>
    <xf numFmtId="17" fontId="0" fillId="0" borderId="36" xfId="0" applyNumberFormat="1" applyFont="1" applyBorder="1" applyAlignment="1">
      <alignment horizontal="center"/>
    </xf>
    <xf numFmtId="17" fontId="0" fillId="0" borderId="37" xfId="0" applyNumberFormat="1" applyFont="1" applyBorder="1" applyAlignment="1">
      <alignment horizontal="center"/>
    </xf>
    <xf numFmtId="4" fontId="0" fillId="0" borderId="33" xfId="0" applyNumberFormat="1" applyFont="1" applyBorder="1" applyAlignment="1">
      <alignment horizontal="right"/>
    </xf>
    <xf numFmtId="4" fontId="0" fillId="0" borderId="33" xfId="0" applyBorder="1" applyAlignment="1">
      <alignment horizontal="left" vertical="center"/>
    </xf>
    <xf numFmtId="4" fontId="0" fillId="0" borderId="33" xfId="0" applyBorder="1" applyAlignment="1">
      <alignment horizontal="right" vertical="center"/>
    </xf>
    <xf numFmtId="0" fontId="0" fillId="0" borderId="38" xfId="0" applyNumberFormat="1" applyFont="1" applyFill="1" applyBorder="1" applyAlignment="1">
      <alignment horizontal="center"/>
    </xf>
    <xf numFmtId="4" fontId="0" fillId="0" borderId="36" xfId="0" applyBorder="1" applyAlignment="1">
      <alignment horizontal="right" vertical="center"/>
    </xf>
    <xf numFmtId="4" fontId="0" fillId="0" borderId="37" xfId="0" applyBorder="1" applyAlignment="1">
      <alignment horizontal="left" vertical="center"/>
    </xf>
    <xf numFmtId="4" fontId="0" fillId="0" borderId="39" xfId="0" applyNumberFormat="1" applyFont="1" applyBorder="1" applyAlignment="1">
      <alignment horizontal="right"/>
    </xf>
    <xf numFmtId="3" fontId="0" fillId="0" borderId="33" xfId="0" applyNumberFormat="1" applyFont="1" applyBorder="1" applyAlignment="1">
      <alignment horizontal="right"/>
    </xf>
    <xf numFmtId="3" fontId="0" fillId="0" borderId="33" xfId="0" applyNumberFormat="1" applyBorder="1" applyAlignment="1">
      <alignment horizontal="right" vertical="center"/>
    </xf>
    <xf numFmtId="3" fontId="0" fillId="0" borderId="36" xfId="0" applyNumberFormat="1" applyBorder="1" applyAlignment="1">
      <alignment horizontal="right" vertical="center"/>
    </xf>
    <xf numFmtId="49" fontId="3" fillId="0" borderId="13" xfId="0" applyNumberFormat="1" applyFont="1" applyBorder="1" applyAlignment="1" quotePrefix="1">
      <alignment horizontal="center"/>
    </xf>
    <xf numFmtId="49" fontId="3" fillId="0" borderId="10" xfId="0" applyNumberFormat="1" applyFont="1" applyBorder="1" applyAlignment="1" quotePrefix="1">
      <alignment horizontal="center"/>
    </xf>
    <xf numFmtId="4" fontId="0" fillId="0" borderId="0" xfId="0" applyFill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169" fontId="0" fillId="0" borderId="0" xfId="0" applyNumberFormat="1" applyFont="1" applyFill="1" applyBorder="1" applyAlignment="1">
      <alignment horizontal="center" vertical="center"/>
    </xf>
    <xf numFmtId="4" fontId="0" fillId="0" borderId="0" xfId="0" applyFont="1" applyFill="1" applyBorder="1" applyAlignment="1">
      <alignment horizontal="center" vertical="center"/>
    </xf>
    <xf numFmtId="17" fontId="0" fillId="0" borderId="0" xfId="0" applyNumberFormat="1" applyFont="1" applyFill="1" applyBorder="1" applyAlignment="1">
      <alignment horizontal="center" vertical="center"/>
    </xf>
    <xf numFmtId="17" fontId="0" fillId="0" borderId="0" xfId="0" applyNumberFormat="1" applyFont="1" applyFill="1" applyBorder="1" applyAlignment="1">
      <alignment horizontal="left" vertical="center"/>
    </xf>
    <xf numFmtId="4" fontId="3" fillId="0" borderId="0" xfId="53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 quotePrefix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" fontId="0" fillId="0" borderId="0" xfId="53" applyNumberFormat="1" applyFont="1" applyFill="1" applyBorder="1" applyAlignment="1">
      <alignment horizontal="center" vertical="center"/>
    </xf>
    <xf numFmtId="17" fontId="0" fillId="0" borderId="19" xfId="0" applyNumberFormat="1" applyFont="1" applyFill="1" applyBorder="1" applyAlignment="1">
      <alignment horizontal="center" vertical="center"/>
    </xf>
    <xf numFmtId="17" fontId="0" fillId="0" borderId="14" xfId="0" applyNumberFormat="1" applyFont="1" applyFill="1" applyBorder="1" applyAlignment="1">
      <alignment horizontal="center" vertical="center"/>
    </xf>
    <xf numFmtId="17" fontId="0" fillId="0" borderId="40" xfId="0" applyNumberFormat="1" applyFont="1" applyFill="1" applyBorder="1" applyAlignment="1">
      <alignment horizontal="center" vertical="center"/>
    </xf>
    <xf numFmtId="4" fontId="0" fillId="0" borderId="11" xfId="0" applyNumberFormat="1" applyFont="1" applyFill="1" applyBorder="1" applyAlignment="1">
      <alignment horizontal="center" vertical="justify"/>
    </xf>
    <xf numFmtId="4" fontId="0" fillId="0" borderId="0" xfId="0" applyFont="1" applyFill="1" applyBorder="1" applyAlignment="1">
      <alignment textRotation="255"/>
    </xf>
    <xf numFmtId="17" fontId="0" fillId="0" borderId="20" xfId="0" applyNumberFormat="1" applyFont="1" applyFill="1" applyBorder="1" applyAlignment="1">
      <alignment horizontal="center" vertical="center"/>
    </xf>
    <xf numFmtId="17" fontId="0" fillId="0" borderId="41" xfId="0" applyNumberFormat="1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center" vertical="justify"/>
    </xf>
    <xf numFmtId="17" fontId="0" fillId="0" borderId="21" xfId="0" applyNumberFormat="1" applyFont="1" applyFill="1" applyBorder="1" applyAlignment="1">
      <alignment horizontal="center" vertical="center"/>
    </xf>
    <xf numFmtId="17" fontId="0" fillId="0" borderId="22" xfId="0" applyNumberFormat="1" applyFont="1" applyFill="1" applyBorder="1" applyAlignment="1">
      <alignment horizontal="center" vertical="center"/>
    </xf>
    <xf numFmtId="17" fontId="0" fillId="0" borderId="15" xfId="0" applyNumberFormat="1" applyFont="1" applyFill="1" applyBorder="1" applyAlignment="1">
      <alignment horizontal="center" vertical="center"/>
    </xf>
    <xf numFmtId="4" fontId="0" fillId="0" borderId="18" xfId="0" applyNumberFormat="1" applyFont="1" applyFill="1" applyBorder="1" applyAlignment="1">
      <alignment horizontal="center" vertical="justify"/>
    </xf>
    <xf numFmtId="17" fontId="2" fillId="0" borderId="0" xfId="0" applyNumberFormat="1" applyFont="1" applyFill="1" applyBorder="1" applyAlignment="1">
      <alignment horizontal="center" vertical="center"/>
    </xf>
    <xf numFmtId="169" fontId="0" fillId="0" borderId="0" xfId="53" applyNumberFormat="1" applyFont="1" applyFill="1" applyBorder="1" applyAlignment="1">
      <alignment horizontal="center" vertical="center"/>
    </xf>
    <xf numFmtId="165" fontId="0" fillId="0" borderId="0" xfId="53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/>
    </xf>
    <xf numFmtId="171" fontId="2" fillId="0" borderId="0" xfId="0" applyNumberFormat="1" applyFont="1" applyFill="1" applyBorder="1" applyAlignment="1">
      <alignment horizontal="right"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40" xfId="0" applyNumberFormat="1" applyFont="1" applyFill="1" applyBorder="1" applyAlignment="1">
      <alignment horizontal="center" vertical="center"/>
    </xf>
    <xf numFmtId="49" fontId="0" fillId="0" borderId="11" xfId="53" applyNumberFormat="1" applyFont="1" applyFill="1" applyBorder="1" applyAlignment="1">
      <alignment horizontal="center" vertical="center"/>
    </xf>
    <xf numFmtId="49" fontId="0" fillId="0" borderId="38" xfId="53" applyNumberFormat="1" applyFont="1" applyFill="1" applyBorder="1" applyAlignment="1">
      <alignment horizontal="center" vertical="center"/>
    </xf>
    <xf numFmtId="0" fontId="0" fillId="0" borderId="42" xfId="0" applyNumberFormat="1" applyFont="1" applyFill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2" xfId="53" applyNumberFormat="1" applyFont="1" applyFill="1" applyBorder="1" applyAlignment="1">
      <alignment horizontal="center" vertical="center"/>
    </xf>
    <xf numFmtId="49" fontId="0" fillId="0" borderId="17" xfId="53" applyNumberFormat="1" applyFont="1" applyFill="1" applyBorder="1" applyAlignment="1">
      <alignment horizontal="center" vertical="center"/>
    </xf>
    <xf numFmtId="0" fontId="0" fillId="0" borderId="43" xfId="0" applyNumberFormat="1" applyFont="1" applyFill="1" applyBorder="1" applyAlignment="1">
      <alignment horizontal="center"/>
    </xf>
    <xf numFmtId="49" fontId="0" fillId="0" borderId="21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0" fillId="0" borderId="18" xfId="53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Continuous"/>
    </xf>
    <xf numFmtId="0" fontId="9" fillId="0" borderId="18" xfId="0" applyNumberFormat="1" applyFont="1" applyFill="1" applyBorder="1" applyAlignment="1">
      <alignment horizontal="centerContinuous"/>
    </xf>
    <xf numFmtId="17" fontId="0" fillId="0" borderId="36" xfId="53" applyNumberFormat="1" applyFont="1" applyBorder="1" applyAlignment="1">
      <alignment horizontal="center" vertical="center"/>
    </xf>
    <xf numFmtId="165" fontId="0" fillId="0" borderId="33" xfId="53" applyFont="1" applyBorder="1" applyAlignment="1">
      <alignment horizontal="center" vertical="center"/>
    </xf>
    <xf numFmtId="165" fontId="0" fillId="0" borderId="33" xfId="53" applyNumberFormat="1" applyFont="1" applyBorder="1" applyAlignment="1">
      <alignment horizontal="center" vertical="center"/>
    </xf>
    <xf numFmtId="165" fontId="0" fillId="0" borderId="33" xfId="53" applyFont="1" applyBorder="1" applyAlignment="1">
      <alignment/>
    </xf>
    <xf numFmtId="165" fontId="0" fillId="0" borderId="33" xfId="53" applyNumberFormat="1" applyFont="1" applyBorder="1" applyAlignment="1">
      <alignment/>
    </xf>
    <xf numFmtId="165" fontId="0" fillId="0" borderId="33" xfId="0" applyNumberFormat="1" applyFont="1" applyBorder="1" applyAlignment="1">
      <alignment/>
    </xf>
    <xf numFmtId="165" fontId="0" fillId="0" borderId="0" xfId="53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34" xfId="0" applyNumberFormat="1" applyFont="1" applyFill="1" applyBorder="1" applyAlignment="1">
      <alignment horizontal="center"/>
    </xf>
    <xf numFmtId="0" fontId="0" fillId="0" borderId="40" xfId="0" applyNumberFormat="1" applyFont="1" applyFill="1" applyBorder="1" applyAlignment="1">
      <alignment horizontal="center"/>
    </xf>
    <xf numFmtId="0" fontId="0" fillId="0" borderId="44" xfId="0" applyNumberFormat="1" applyFont="1" applyFill="1" applyBorder="1" applyAlignment="1">
      <alignment horizontal="center"/>
    </xf>
    <xf numFmtId="0" fontId="0" fillId="0" borderId="35" xfId="0" applyNumberFormat="1" applyFont="1" applyFill="1" applyBorder="1" applyAlignment="1">
      <alignment horizontal="center"/>
    </xf>
    <xf numFmtId="0" fontId="0" fillId="0" borderId="41" xfId="0" applyNumberFormat="1" applyFont="1" applyFill="1" applyBorder="1" applyAlignment="1">
      <alignment horizontal="center"/>
    </xf>
    <xf numFmtId="0" fontId="0" fillId="0" borderId="45" xfId="0" applyNumberFormat="1" applyFont="1" applyFill="1" applyBorder="1" applyAlignment="1">
      <alignment horizontal="center"/>
    </xf>
    <xf numFmtId="14" fontId="3" fillId="33" borderId="41" xfId="0" applyNumberFormat="1" applyFont="1" applyFill="1" applyBorder="1" applyAlignment="1">
      <alignment horizontal="center"/>
    </xf>
    <xf numFmtId="4" fontId="0" fillId="0" borderId="46" xfId="0" applyNumberFormat="1" applyFont="1" applyFill="1" applyBorder="1" applyAlignment="1">
      <alignment horizontal="left"/>
    </xf>
    <xf numFmtId="14" fontId="3" fillId="0" borderId="18" xfId="0" applyNumberFormat="1" applyFont="1" applyFill="1" applyBorder="1" applyAlignment="1" quotePrefix="1">
      <alignment horizontal="center"/>
    </xf>
    <xf numFmtId="4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centerContinuous"/>
    </xf>
    <xf numFmtId="14" fontId="3" fillId="0" borderId="0" xfId="0" applyNumberFormat="1" applyFont="1" applyFill="1" applyBorder="1" applyAlignment="1" quotePrefix="1">
      <alignment horizontal="center"/>
    </xf>
    <xf numFmtId="17" fontId="0" fillId="34" borderId="37" xfId="0" applyNumberFormat="1" applyFont="1" applyFill="1" applyBorder="1" applyAlignment="1">
      <alignment horizontal="right"/>
    </xf>
    <xf numFmtId="165" fontId="0" fillId="34" borderId="33" xfId="53" applyFont="1" applyFill="1" applyBorder="1" applyAlignment="1">
      <alignment/>
    </xf>
    <xf numFmtId="165" fontId="0" fillId="34" borderId="33" xfId="53" applyNumberFormat="1" applyFont="1" applyFill="1" applyBorder="1" applyAlignment="1">
      <alignment/>
    </xf>
    <xf numFmtId="165" fontId="0" fillId="34" borderId="33" xfId="0" applyNumberFormat="1" applyFont="1" applyFill="1" applyBorder="1" applyAlignment="1">
      <alignment/>
    </xf>
    <xf numFmtId="0" fontId="0" fillId="0" borderId="0" xfId="0" applyNumberFormat="1" applyFill="1" applyAlignment="1">
      <alignment/>
    </xf>
    <xf numFmtId="0" fontId="3" fillId="0" borderId="0" xfId="0" applyNumberFormat="1" applyFont="1" applyFill="1" applyBorder="1" applyAlignment="1">
      <alignment/>
    </xf>
    <xf numFmtId="4" fontId="0" fillId="0" borderId="0" xfId="0" applyFill="1" applyBorder="1" applyAlignment="1">
      <alignment horizontal="left"/>
    </xf>
    <xf numFmtId="4" fontId="0" fillId="0" borderId="0" xfId="0" applyFont="1" applyFill="1" applyBorder="1" applyAlignment="1">
      <alignment horizontal="center" vertical="center"/>
    </xf>
    <xf numFmtId="0" fontId="0" fillId="33" borderId="11" xfId="0" applyNumberFormat="1" applyFont="1" applyFill="1" applyBorder="1" applyAlignment="1">
      <alignment horizontal="center"/>
    </xf>
    <xf numFmtId="0" fontId="0" fillId="33" borderId="42" xfId="0" applyNumberFormat="1" applyFont="1" applyFill="1" applyBorder="1" applyAlignment="1">
      <alignment horizontal="center"/>
    </xf>
    <xf numFmtId="0" fontId="0" fillId="33" borderId="12" xfId="0" applyNumberFormat="1" applyFont="1" applyFill="1" applyBorder="1" applyAlignment="1">
      <alignment horizontal="center"/>
    </xf>
    <xf numFmtId="0" fontId="0" fillId="33" borderId="43" xfId="0" applyNumberFormat="1" applyFont="1" applyFill="1" applyBorder="1" applyAlignment="1" quotePrefix="1">
      <alignment horizontal="center"/>
    </xf>
    <xf numFmtId="0" fontId="0" fillId="33" borderId="12" xfId="0" applyNumberFormat="1" applyFont="1" applyFill="1" applyBorder="1" applyAlignment="1" quotePrefix="1">
      <alignment horizontal="center"/>
    </xf>
    <xf numFmtId="14" fontId="0" fillId="33" borderId="12" xfId="0" applyNumberFormat="1" applyFont="1" applyFill="1" applyBorder="1" applyAlignment="1" quotePrefix="1">
      <alignment horizontal="center"/>
    </xf>
    <xf numFmtId="14" fontId="3" fillId="33" borderId="12" xfId="0" applyNumberFormat="1" applyFont="1" applyFill="1" applyBorder="1" applyAlignment="1">
      <alignment horizontal="center"/>
    </xf>
    <xf numFmtId="14" fontId="0" fillId="33" borderId="12" xfId="0" applyNumberFormat="1" applyFill="1" applyBorder="1" applyAlignment="1" quotePrefix="1">
      <alignment horizontal="center"/>
    </xf>
    <xf numFmtId="0" fontId="0" fillId="33" borderId="43" xfId="0" applyNumberFormat="1" applyFont="1" applyFill="1" applyBorder="1" applyAlignment="1">
      <alignment horizontal="center"/>
    </xf>
    <xf numFmtId="0" fontId="0" fillId="33" borderId="18" xfId="0" applyNumberFormat="1" applyFont="1" applyFill="1" applyBorder="1" applyAlignment="1">
      <alignment horizontal="center"/>
    </xf>
    <xf numFmtId="0" fontId="0" fillId="33" borderId="18" xfId="0" applyNumberFormat="1" applyFill="1" applyBorder="1" applyAlignment="1">
      <alignment horizontal="center"/>
    </xf>
    <xf numFmtId="172" fontId="0" fillId="33" borderId="18" xfId="0" applyNumberFormat="1" applyFont="1" applyFill="1" applyBorder="1" applyAlignment="1">
      <alignment horizontal="center"/>
    </xf>
    <xf numFmtId="0" fontId="0" fillId="33" borderId="47" xfId="0" applyNumberFormat="1" applyFill="1" applyBorder="1" applyAlignment="1">
      <alignment horizontal="center"/>
    </xf>
    <xf numFmtId="0" fontId="0" fillId="33" borderId="0" xfId="0" applyNumberFormat="1" applyFont="1" applyFill="1" applyBorder="1" applyAlignment="1">
      <alignment/>
    </xf>
    <xf numFmtId="17" fontId="0" fillId="33" borderId="33" xfId="0" applyNumberFormat="1" applyFont="1" applyFill="1" applyBorder="1" applyAlignment="1">
      <alignment horizontal="right"/>
    </xf>
    <xf numFmtId="165" fontId="0" fillId="33" borderId="33" xfId="53" applyFont="1" applyFill="1" applyBorder="1" applyAlignment="1">
      <alignment horizontal="right"/>
    </xf>
    <xf numFmtId="0" fontId="63" fillId="0" borderId="0" xfId="0" applyNumberFormat="1" applyFont="1" applyFill="1" applyAlignment="1">
      <alignment/>
    </xf>
    <xf numFmtId="0" fontId="0" fillId="0" borderId="12" xfId="0" applyNumberFormat="1" applyFill="1" applyBorder="1" applyAlignment="1">
      <alignment horizontal="center"/>
    </xf>
    <xf numFmtId="14" fontId="3" fillId="0" borderId="12" xfId="0" applyNumberFormat="1" applyFont="1" applyFill="1" applyBorder="1" applyAlignment="1" quotePrefix="1">
      <alignment horizontal="center"/>
    </xf>
    <xf numFmtId="0" fontId="0" fillId="0" borderId="18" xfId="0" applyNumberFormat="1" applyFill="1" applyBorder="1" applyAlignment="1">
      <alignment horizontal="center"/>
    </xf>
    <xf numFmtId="0" fontId="0" fillId="0" borderId="18" xfId="0" applyNumberFormat="1" applyFill="1" applyBorder="1" applyAlignment="1">
      <alignment horizontal="centerContinuous"/>
    </xf>
    <xf numFmtId="0" fontId="0" fillId="0" borderId="47" xfId="0" applyNumberFormat="1" applyFill="1" applyBorder="1" applyAlignment="1">
      <alignment horizontal="center"/>
    </xf>
    <xf numFmtId="0" fontId="10" fillId="35" borderId="48" xfId="0" applyNumberFormat="1" applyFont="1" applyFill="1" applyBorder="1" applyAlignment="1">
      <alignment horizontal="left"/>
    </xf>
    <xf numFmtId="0" fontId="11" fillId="35" borderId="49" xfId="0" applyNumberFormat="1" applyFont="1" applyFill="1" applyBorder="1" applyAlignment="1">
      <alignment horizontal="center"/>
    </xf>
    <xf numFmtId="0" fontId="12" fillId="35" borderId="49" xfId="0" applyNumberFormat="1" applyFont="1" applyFill="1" applyBorder="1" applyAlignment="1">
      <alignment horizontal="center"/>
    </xf>
    <xf numFmtId="0" fontId="13" fillId="35" borderId="49" xfId="0" applyNumberFormat="1" applyFont="1" applyFill="1" applyBorder="1" applyAlignment="1">
      <alignment horizontal="center"/>
    </xf>
    <xf numFmtId="0" fontId="13" fillId="35" borderId="50" xfId="0" applyNumberFormat="1" applyFont="1" applyFill="1" applyBorder="1" applyAlignment="1">
      <alignment horizontal="center"/>
    </xf>
    <xf numFmtId="0" fontId="12" fillId="35" borderId="51" xfId="0" applyNumberFormat="1" applyFont="1" applyFill="1" applyBorder="1" applyAlignment="1">
      <alignment horizontal="left"/>
    </xf>
    <xf numFmtId="0" fontId="12" fillId="35" borderId="0" xfId="0" applyNumberFormat="1" applyFont="1" applyFill="1" applyBorder="1" applyAlignment="1">
      <alignment horizontal="center"/>
    </xf>
    <xf numFmtId="0" fontId="13" fillId="35" borderId="0" xfId="0" applyNumberFormat="1" applyFont="1" applyFill="1" applyBorder="1" applyAlignment="1">
      <alignment horizontal="center"/>
    </xf>
    <xf numFmtId="0" fontId="13" fillId="35" borderId="52" xfId="0" applyNumberFormat="1" applyFont="1" applyFill="1" applyBorder="1" applyAlignment="1">
      <alignment horizontal="center"/>
    </xf>
    <xf numFmtId="0" fontId="11" fillId="35" borderId="51" xfId="0" applyNumberFormat="1" applyFont="1" applyFill="1" applyBorder="1" applyAlignment="1">
      <alignment horizontal="left"/>
    </xf>
    <xf numFmtId="0" fontId="11" fillId="35" borderId="0" xfId="0" applyNumberFormat="1" applyFont="1" applyFill="1" applyBorder="1" applyAlignment="1">
      <alignment horizontal="center"/>
    </xf>
    <xf numFmtId="0" fontId="14" fillId="35" borderId="53" xfId="0" applyNumberFormat="1" applyFont="1" applyFill="1" applyBorder="1" applyAlignment="1">
      <alignment horizontal="left"/>
    </xf>
    <xf numFmtId="0" fontId="11" fillId="35" borderId="54" xfId="0" applyNumberFormat="1" applyFont="1" applyFill="1" applyBorder="1" applyAlignment="1">
      <alignment horizontal="center"/>
    </xf>
    <xf numFmtId="0" fontId="13" fillId="35" borderId="54" xfId="0" applyNumberFormat="1" applyFont="1" applyFill="1" applyBorder="1" applyAlignment="1">
      <alignment horizontal="center"/>
    </xf>
    <xf numFmtId="0" fontId="13" fillId="35" borderId="55" xfId="0" applyNumberFormat="1" applyFont="1" applyFill="1" applyBorder="1" applyAlignment="1">
      <alignment horizontal="center"/>
    </xf>
    <xf numFmtId="0" fontId="13" fillId="0" borderId="0" xfId="0" applyNumberFormat="1" applyFont="1" applyAlignment="1">
      <alignment horizontal="center"/>
    </xf>
    <xf numFmtId="0" fontId="14" fillId="36" borderId="56" xfId="0" applyNumberFormat="1" applyFont="1" applyFill="1" applyBorder="1" applyAlignment="1">
      <alignment horizontal="center"/>
    </xf>
    <xf numFmtId="0" fontId="14" fillId="37" borderId="56" xfId="0" applyNumberFormat="1" applyFont="1" applyFill="1" applyBorder="1" applyAlignment="1">
      <alignment horizontal="center"/>
    </xf>
    <xf numFmtId="176" fontId="12" fillId="38" borderId="56" xfId="49" applyNumberFormat="1" applyFont="1" applyFill="1" applyBorder="1" applyAlignment="1" applyProtection="1">
      <alignment horizontal="center" vertical="center" shrinkToFit="1"/>
      <protection hidden="1"/>
    </xf>
    <xf numFmtId="176" fontId="12" fillId="39" borderId="56" xfId="49" applyNumberFormat="1" applyFont="1" applyFill="1" applyBorder="1" applyAlignment="1" applyProtection="1">
      <alignment horizontal="center" vertical="center" shrinkToFit="1"/>
      <protection hidden="1"/>
    </xf>
    <xf numFmtId="0" fontId="15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15" fillId="0" borderId="0" xfId="0" applyNumberFormat="1" applyFont="1" applyFill="1" applyAlignment="1">
      <alignment/>
    </xf>
    <xf numFmtId="165" fontId="0" fillId="0" borderId="0" xfId="53" applyFont="1" applyFill="1" applyAlignment="1">
      <alignment horizontal="right"/>
    </xf>
    <xf numFmtId="0" fontId="0" fillId="0" borderId="0" xfId="0" applyNumberFormat="1" applyFill="1" applyAlignment="1" quotePrefix="1">
      <alignment horizontal="left"/>
    </xf>
    <xf numFmtId="0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 quotePrefix="1">
      <alignment horizontal="left"/>
    </xf>
    <xf numFmtId="165" fontId="0" fillId="0" borderId="0" xfId="0" applyNumberFormat="1" applyFont="1" applyFill="1" applyAlignment="1">
      <alignment horizontal="right"/>
    </xf>
    <xf numFmtId="165" fontId="0" fillId="0" borderId="0" xfId="53" applyFont="1" applyFill="1" applyBorder="1" applyAlignment="1">
      <alignment horizontal="right"/>
    </xf>
    <xf numFmtId="2" fontId="0" fillId="0" borderId="0" xfId="0" applyNumberFormat="1" applyFont="1" applyFill="1" applyAlignment="1">
      <alignment/>
    </xf>
    <xf numFmtId="165" fontId="0" fillId="0" borderId="24" xfId="53" applyFont="1" applyFill="1" applyBorder="1" applyAlignment="1">
      <alignment horizontal="right"/>
    </xf>
    <xf numFmtId="1" fontId="0" fillId="0" borderId="0" xfId="0" applyNumberFormat="1" applyFont="1" applyFill="1" applyAlignment="1">
      <alignment horizontal="right"/>
    </xf>
    <xf numFmtId="0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center"/>
    </xf>
    <xf numFmtId="170" fontId="0" fillId="0" borderId="0" xfId="51" applyNumberFormat="1" applyFont="1" applyFill="1" applyAlignment="1">
      <alignment horizontal="right"/>
    </xf>
    <xf numFmtId="165" fontId="0" fillId="0" borderId="28" xfId="53" applyFont="1" applyFill="1" applyBorder="1" applyAlignment="1">
      <alignment horizontal="right"/>
    </xf>
    <xf numFmtId="165" fontId="0" fillId="0" borderId="0" xfId="0" applyNumberFormat="1" applyFill="1" applyAlignment="1">
      <alignment horizontal="right"/>
    </xf>
    <xf numFmtId="4" fontId="16" fillId="0" borderId="0" xfId="0" applyFont="1" applyAlignment="1">
      <alignment horizontal="center" vertical="center"/>
    </xf>
    <xf numFmtId="0" fontId="16" fillId="0" borderId="0" xfId="0" applyNumberFormat="1" applyFont="1" applyFill="1" applyAlignment="1">
      <alignment/>
    </xf>
    <xf numFmtId="4" fontId="64" fillId="0" borderId="0" xfId="0" applyFont="1" applyAlignment="1">
      <alignment horizontal="center" vertical="center" wrapText="1"/>
    </xf>
    <xf numFmtId="4" fontId="65" fillId="0" borderId="0" xfId="0" applyFont="1" applyAlignment="1">
      <alignment horizontal="center" vertical="center" wrapText="1"/>
    </xf>
    <xf numFmtId="4" fontId="66" fillId="23" borderId="57" xfId="0" applyFont="1" applyFill="1" applyBorder="1" applyAlignment="1">
      <alignment horizontal="center" vertical="center" wrapText="1"/>
    </xf>
    <xf numFmtId="4" fontId="66" fillId="23" borderId="58" xfId="0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vertical="center"/>
    </xf>
    <xf numFmtId="4" fontId="0" fillId="0" borderId="59" xfId="0" applyFont="1" applyBorder="1" applyAlignment="1">
      <alignment horizontal="center" vertical="top" wrapText="1"/>
    </xf>
    <xf numFmtId="4" fontId="0" fillId="0" borderId="0" xfId="0" applyFont="1" applyAlignment="1">
      <alignment horizontal="left" vertical="center" wrapText="1" indent="1"/>
    </xf>
    <xf numFmtId="4" fontId="0" fillId="0" borderId="0" xfId="0" applyFont="1" applyAlignment="1">
      <alignment horizontal="center" vertical="center"/>
    </xf>
    <xf numFmtId="4" fontId="67" fillId="0" borderId="0" xfId="0" applyFont="1" applyAlignment="1">
      <alignment horizontal="left" vertical="center"/>
    </xf>
    <xf numFmtId="4" fontId="0" fillId="0" borderId="0" xfId="0" applyFont="1" applyAlignment="1">
      <alignment horizontal="center" vertical="center"/>
    </xf>
    <xf numFmtId="0" fontId="3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 quotePrefix="1">
      <alignment horizontal="left"/>
    </xf>
    <xf numFmtId="0" fontId="0" fillId="0" borderId="0" xfId="0" applyNumberFormat="1" applyFont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0" fontId="0" fillId="0" borderId="27" xfId="0" applyNumberFormat="1" applyFont="1" applyBorder="1" applyAlignment="1">
      <alignment/>
    </xf>
    <xf numFmtId="0" fontId="0" fillId="0" borderId="28" xfId="0" applyNumberFormat="1" applyFont="1" applyBorder="1" applyAlignment="1">
      <alignment/>
    </xf>
    <xf numFmtId="0" fontId="0" fillId="0" borderId="24" xfId="0" applyNumberFormat="1" applyFont="1" applyBorder="1" applyAlignment="1">
      <alignment/>
    </xf>
    <xf numFmtId="0" fontId="0" fillId="0" borderId="24" xfId="0" applyNumberFormat="1" applyFont="1" applyBorder="1" applyAlignment="1">
      <alignment horizontal="center"/>
    </xf>
    <xf numFmtId="0" fontId="0" fillId="0" borderId="24" xfId="0" applyNumberFormat="1" applyFont="1" applyBorder="1" applyAlignment="1">
      <alignment horizontal="right"/>
    </xf>
    <xf numFmtId="165" fontId="0" fillId="0" borderId="24" xfId="53" applyFont="1" applyBorder="1" applyAlignment="1">
      <alignment/>
    </xf>
    <xf numFmtId="165" fontId="0" fillId="0" borderId="0" xfId="53" applyFont="1" applyBorder="1" applyAlignment="1">
      <alignment/>
    </xf>
    <xf numFmtId="165" fontId="3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0" fontId="7" fillId="0" borderId="26" xfId="0" applyNumberFormat="1" applyFont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0" fontId="3" fillId="0" borderId="27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0" fillId="0" borderId="0" xfId="0" applyNumberFormat="1" applyBorder="1" applyAlignment="1">
      <alignment horizontal="left"/>
    </xf>
    <xf numFmtId="0" fontId="0" fillId="0" borderId="28" xfId="0" applyNumberFormat="1" applyFont="1" applyBorder="1" applyAlignment="1">
      <alignment horizontal="left"/>
    </xf>
    <xf numFmtId="0" fontId="0" fillId="0" borderId="28" xfId="0" applyNumberFormat="1" applyFont="1" applyBorder="1" applyAlignment="1">
      <alignment horizontal="right"/>
    </xf>
    <xf numFmtId="0" fontId="0" fillId="0" borderId="0" xfId="0" applyNumberFormat="1" applyBorder="1" applyAlignment="1">
      <alignment/>
    </xf>
    <xf numFmtId="165" fontId="16" fillId="0" borderId="0" xfId="53" applyFont="1" applyBorder="1" applyAlignment="1">
      <alignment/>
    </xf>
    <xf numFmtId="0" fontId="6" fillId="0" borderId="0" xfId="0" applyNumberFormat="1" applyFont="1" applyBorder="1" applyAlignment="1">
      <alignment/>
    </xf>
    <xf numFmtId="0" fontId="17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left"/>
    </xf>
    <xf numFmtId="0" fontId="5" fillId="0" borderId="0" xfId="0" applyNumberFormat="1" applyFont="1" applyAlignment="1">
      <alignment/>
    </xf>
    <xf numFmtId="0" fontId="18" fillId="0" borderId="12" xfId="0" applyNumberFormat="1" applyFont="1" applyFill="1" applyBorder="1" applyAlignment="1">
      <alignment horizontal="center"/>
    </xf>
    <xf numFmtId="14" fontId="18" fillId="0" borderId="12" xfId="0" applyNumberFormat="1" applyFont="1" applyFill="1" applyBorder="1" applyAlignment="1">
      <alignment horizontal="center"/>
    </xf>
    <xf numFmtId="165" fontId="3" fillId="0" borderId="60" xfId="0" applyNumberFormat="1" applyFont="1" applyBorder="1" applyAlignment="1">
      <alignment/>
    </xf>
    <xf numFmtId="0" fontId="0" fillId="0" borderId="32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165" fontId="3" fillId="0" borderId="60" xfId="0" applyNumberFormat="1" applyFont="1" applyFill="1" applyBorder="1" applyAlignment="1">
      <alignment/>
    </xf>
    <xf numFmtId="0" fontId="0" fillId="0" borderId="46" xfId="0" applyNumberFormat="1" applyFont="1" applyFill="1" applyBorder="1" applyAlignment="1">
      <alignment horizontal="center"/>
    </xf>
    <xf numFmtId="17" fontId="0" fillId="0" borderId="15" xfId="0" applyNumberFormat="1" applyFont="1" applyFill="1" applyBorder="1" applyAlignment="1">
      <alignment horizontal="center"/>
    </xf>
    <xf numFmtId="165" fontId="0" fillId="0" borderId="39" xfId="53" applyFont="1" applyBorder="1" applyAlignment="1">
      <alignment horizontal="left"/>
    </xf>
    <xf numFmtId="169" fontId="0" fillId="0" borderId="0" xfId="0" applyNumberFormat="1" applyFont="1" applyFill="1" applyBorder="1" applyAlignment="1">
      <alignment horizontal="left"/>
    </xf>
    <xf numFmtId="169" fontId="2" fillId="0" borderId="0" xfId="0" applyNumberFormat="1" applyFont="1" applyFill="1" applyBorder="1" applyAlignment="1">
      <alignment horizontal="right" vertical="center"/>
    </xf>
    <xf numFmtId="4" fontId="3" fillId="0" borderId="0" xfId="0" applyFont="1" applyFill="1" applyBorder="1" applyAlignment="1">
      <alignment horizontal="left"/>
    </xf>
    <xf numFmtId="169" fontId="3" fillId="0" borderId="0" xfId="0" applyNumberFormat="1" applyFont="1" applyFill="1" applyBorder="1" applyAlignment="1">
      <alignment horizontal="left"/>
    </xf>
    <xf numFmtId="4" fontId="3" fillId="0" borderId="0" xfId="0" applyNumberFormat="1" applyFont="1" applyFill="1" applyBorder="1" applyAlignment="1">
      <alignment horizontal="center" vertical="center"/>
    </xf>
    <xf numFmtId="4" fontId="3" fillId="0" borderId="0" xfId="0" applyFont="1" applyFill="1" applyBorder="1" applyAlignment="1">
      <alignment horizontal="center" vertical="center"/>
    </xf>
    <xf numFmtId="169" fontId="0" fillId="0" borderId="0" xfId="0" applyNumberFormat="1" applyFont="1" applyFill="1" applyAlignment="1">
      <alignment/>
    </xf>
    <xf numFmtId="171" fontId="3" fillId="0" borderId="10" xfId="0" applyNumberFormat="1" applyFont="1" applyFill="1" applyBorder="1" applyAlignment="1" quotePrefix="1">
      <alignment horizontal="center" vertical="center"/>
    </xf>
    <xf numFmtId="49" fontId="0" fillId="0" borderId="34" xfId="0" applyNumberFormat="1" applyFont="1" applyFill="1" applyBorder="1" applyAlignment="1">
      <alignment horizontal="center" vertical="center"/>
    </xf>
    <xf numFmtId="49" fontId="0" fillId="0" borderId="11" xfId="53" applyNumberFormat="1" applyFont="1" applyFill="1" applyBorder="1" applyAlignment="1">
      <alignment horizontal="center" vertical="center"/>
    </xf>
    <xf numFmtId="49" fontId="0" fillId="0" borderId="42" xfId="53" applyNumberFormat="1" applyFont="1" applyFill="1" applyBorder="1" applyAlignment="1">
      <alignment horizontal="center" vertical="center"/>
    </xf>
    <xf numFmtId="4" fontId="0" fillId="0" borderId="0" xfId="0" applyFont="1" applyFill="1" applyBorder="1" applyAlignment="1">
      <alignment horizontal="center" vertical="center" textRotation="255"/>
    </xf>
    <xf numFmtId="49" fontId="0" fillId="0" borderId="35" xfId="0" applyNumberFormat="1" applyFont="1" applyFill="1" applyBorder="1" applyAlignment="1">
      <alignment horizontal="center" vertical="center"/>
    </xf>
    <xf numFmtId="49" fontId="0" fillId="0" borderId="12" xfId="53" applyNumberFormat="1" applyFont="1" applyFill="1" applyBorder="1" applyAlignment="1">
      <alignment horizontal="center" vertical="center"/>
    </xf>
    <xf numFmtId="49" fontId="0" fillId="0" borderId="43" xfId="53" applyNumberFormat="1" applyFont="1" applyFill="1" applyBorder="1" applyAlignment="1">
      <alignment horizontal="center" vertical="center"/>
    </xf>
    <xf numFmtId="49" fontId="0" fillId="0" borderId="46" xfId="0" applyNumberFormat="1" applyFont="1" applyFill="1" applyBorder="1" applyAlignment="1">
      <alignment horizontal="center" vertical="center"/>
    </xf>
    <xf numFmtId="49" fontId="0" fillId="0" borderId="0" xfId="53" applyNumberFormat="1" applyFont="1" applyFill="1" applyBorder="1" applyAlignment="1">
      <alignment horizontal="center" vertical="center"/>
    </xf>
    <xf numFmtId="17" fontId="0" fillId="33" borderId="37" xfId="0" applyNumberFormat="1" applyFont="1" applyFill="1" applyBorder="1" applyAlignment="1">
      <alignment horizontal="right" vertical="center"/>
    </xf>
    <xf numFmtId="3" fontId="0" fillId="0" borderId="33" xfId="53" applyNumberFormat="1" applyFont="1" applyFill="1" applyBorder="1" applyAlignment="1">
      <alignment/>
    </xf>
    <xf numFmtId="49" fontId="0" fillId="0" borderId="41" xfId="0" applyNumberFormat="1" applyFill="1" applyBorder="1" applyAlignment="1">
      <alignment horizontal="center" vertical="center"/>
    </xf>
    <xf numFmtId="17" fontId="0" fillId="0" borderId="39" xfId="53" applyNumberFormat="1" applyFont="1" applyBorder="1" applyAlignment="1">
      <alignment horizontal="left" vertical="center"/>
    </xf>
    <xf numFmtId="0" fontId="0" fillId="0" borderId="0" xfId="0" applyNumberFormat="1" applyFont="1" applyAlignment="1">
      <alignment horizontal="center"/>
    </xf>
    <xf numFmtId="171" fontId="2" fillId="0" borderId="0" xfId="0" applyNumberFormat="1" applyFont="1" applyFill="1" applyBorder="1" applyAlignment="1">
      <alignment horizontal="center" vertical="center"/>
    </xf>
    <xf numFmtId="49" fontId="0" fillId="0" borderId="18" xfId="53" applyNumberFormat="1" applyFont="1" applyFill="1" applyBorder="1" applyAlignment="1">
      <alignment horizontal="center" vertical="center"/>
    </xf>
    <xf numFmtId="17" fontId="0" fillId="0" borderId="36" xfId="53" applyNumberFormat="1" applyFont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/>
    </xf>
    <xf numFmtId="49" fontId="0" fillId="0" borderId="17" xfId="53" applyNumberFormat="1" applyFont="1" applyFill="1" applyBorder="1" applyAlignment="1">
      <alignment horizontal="center" vertical="center"/>
    </xf>
    <xf numFmtId="49" fontId="0" fillId="0" borderId="61" xfId="53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63" fillId="0" borderId="0" xfId="0" applyNumberFormat="1" applyFont="1" applyAlignment="1">
      <alignment/>
    </xf>
    <xf numFmtId="0" fontId="6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4" fontId="3" fillId="0" borderId="0" xfId="0" applyNumberFormat="1" applyFont="1" applyFill="1" applyAlignment="1">
      <alignment/>
    </xf>
    <xf numFmtId="49" fontId="0" fillId="0" borderId="12" xfId="0" applyNumberFormat="1" applyFill="1" applyBorder="1" applyAlignment="1">
      <alignment horizontal="center"/>
    </xf>
    <xf numFmtId="0" fontId="0" fillId="0" borderId="15" xfId="0" applyNumberFormat="1" applyFill="1" applyBorder="1" applyAlignment="1">
      <alignment horizontal="centerContinuous"/>
    </xf>
    <xf numFmtId="0" fontId="0" fillId="0" borderId="15" xfId="0" applyNumberFormat="1" applyFill="1" applyBorder="1" applyAlignment="1">
      <alignment horizontal="center"/>
    </xf>
    <xf numFmtId="14" fontId="0" fillId="0" borderId="12" xfId="0" applyNumberFormat="1" applyFill="1" applyBorder="1" applyAlignment="1">
      <alignment horizontal="center"/>
    </xf>
    <xf numFmtId="14" fontId="0" fillId="0" borderId="12" xfId="0" applyNumberFormat="1" applyFont="1" applyFill="1" applyBorder="1" applyAlignment="1">
      <alignment horizontal="center"/>
    </xf>
    <xf numFmtId="0" fontId="0" fillId="34" borderId="0" xfId="0" applyNumberFormat="1" applyFont="1" applyFill="1" applyAlignment="1">
      <alignment/>
    </xf>
    <xf numFmtId="4" fontId="0" fillId="34" borderId="0" xfId="0" applyNumberFormat="1" applyFont="1" applyFill="1" applyAlignment="1">
      <alignment/>
    </xf>
    <xf numFmtId="0" fontId="0" fillId="0" borderId="11" xfId="0" applyNumberFormat="1" applyFill="1" applyBorder="1" applyAlignment="1">
      <alignment horizontal="center"/>
    </xf>
    <xf numFmtId="165" fontId="0" fillId="34" borderId="33" xfId="53" applyFont="1" applyFill="1" applyBorder="1" applyAlignment="1">
      <alignment/>
    </xf>
    <xf numFmtId="17" fontId="0" fillId="0" borderId="0" xfId="0" applyNumberFormat="1" applyFill="1" applyBorder="1" applyAlignment="1">
      <alignment horizontal="left" vertical="center"/>
    </xf>
    <xf numFmtId="4" fontId="0" fillId="0" borderId="12" xfId="0" applyNumberFormat="1" applyFill="1" applyBorder="1" applyAlignment="1">
      <alignment horizontal="center" vertical="justify"/>
    </xf>
    <xf numFmtId="17" fontId="0" fillId="0" borderId="41" xfId="0" applyNumberFormat="1" applyFill="1" applyBorder="1" applyAlignment="1">
      <alignment horizontal="center" vertical="center"/>
    </xf>
    <xf numFmtId="165" fontId="0" fillId="33" borderId="33" xfId="53" applyFont="1" applyFill="1" applyBorder="1" applyAlignment="1">
      <alignment horizontal="left"/>
    </xf>
    <xf numFmtId="4" fontId="0" fillId="33" borderId="33" xfId="53" applyNumberFormat="1" applyFont="1" applyFill="1" applyBorder="1" applyAlignment="1">
      <alignment/>
    </xf>
    <xf numFmtId="177" fontId="0" fillId="34" borderId="33" xfId="53" applyNumberFormat="1" applyFont="1" applyFill="1" applyBorder="1" applyAlignment="1">
      <alignment/>
    </xf>
    <xf numFmtId="4" fontId="0" fillId="33" borderId="33" xfId="0" applyNumberFormat="1" applyFont="1" applyFill="1" applyBorder="1" applyAlignment="1">
      <alignment/>
    </xf>
    <xf numFmtId="43" fontId="0" fillId="33" borderId="33" xfId="0" applyNumberFormat="1" applyFont="1" applyFill="1" applyBorder="1" applyAlignment="1">
      <alignment/>
    </xf>
    <xf numFmtId="0" fontId="0" fillId="0" borderId="61" xfId="0" applyNumberFormat="1" applyFill="1" applyBorder="1" applyAlignment="1">
      <alignment horizontal="center"/>
    </xf>
    <xf numFmtId="17" fontId="0" fillId="0" borderId="33" xfId="0" applyNumberFormat="1" applyBorder="1" applyAlignment="1">
      <alignment horizontal="left"/>
    </xf>
    <xf numFmtId="17" fontId="0" fillId="0" borderId="37" xfId="0" applyNumberFormat="1" applyBorder="1" applyAlignment="1">
      <alignment horizontal="center"/>
    </xf>
    <xf numFmtId="4" fontId="0" fillId="0" borderId="12" xfId="0" applyNumberFormat="1" applyFill="1" applyBorder="1" applyAlignment="1">
      <alignment horizontal="center"/>
    </xf>
    <xf numFmtId="9" fontId="0" fillId="0" borderId="12" xfId="0" applyNumberFormat="1" applyFill="1" applyBorder="1" applyAlignment="1">
      <alignment horizontal="center"/>
    </xf>
    <xf numFmtId="168" fontId="0" fillId="0" borderId="0" xfId="0" applyNumberFormat="1" applyFont="1" applyAlignment="1">
      <alignment/>
    </xf>
    <xf numFmtId="168" fontId="0" fillId="0" borderId="0" xfId="0" applyNumberFormat="1" applyFont="1" applyFill="1" applyAlignment="1">
      <alignment/>
    </xf>
    <xf numFmtId="168" fontId="0" fillId="0" borderId="0" xfId="0" applyNumberFormat="1" applyFont="1" applyAlignment="1">
      <alignment/>
    </xf>
    <xf numFmtId="168" fontId="3" fillId="0" borderId="10" xfId="0" applyNumberFormat="1" applyFont="1" applyFill="1" applyBorder="1" applyAlignment="1">
      <alignment horizontal="center"/>
    </xf>
    <xf numFmtId="168" fontId="0" fillId="0" borderId="40" xfId="0" applyNumberFormat="1" applyFont="1" applyFill="1" applyBorder="1" applyAlignment="1">
      <alignment horizontal="center"/>
    </xf>
    <xf numFmtId="168" fontId="0" fillId="0" borderId="41" xfId="0" applyNumberFormat="1" applyFill="1" applyBorder="1" applyAlignment="1">
      <alignment horizontal="center"/>
    </xf>
    <xf numFmtId="168" fontId="0" fillId="0" borderId="41" xfId="0" applyNumberFormat="1" applyFont="1" applyFill="1" applyBorder="1" applyAlignment="1">
      <alignment horizontal="center"/>
    </xf>
    <xf numFmtId="168" fontId="0" fillId="0" borderId="15" xfId="0" applyNumberFormat="1" applyFont="1" applyFill="1" applyBorder="1" applyAlignment="1">
      <alignment horizontal="centerContinuous"/>
    </xf>
    <xf numFmtId="168" fontId="0" fillId="34" borderId="33" xfId="53" applyNumberFormat="1" applyFont="1" applyFill="1" applyBorder="1" applyAlignment="1">
      <alignment/>
    </xf>
    <xf numFmtId="168" fontId="0" fillId="0" borderId="0" xfId="0" applyNumberFormat="1" applyAlignment="1">
      <alignment horizontal="left" vertical="center"/>
    </xf>
    <xf numFmtId="4" fontId="0" fillId="0" borderId="37" xfId="0" applyNumberFormat="1" applyFont="1" applyBorder="1" applyAlignment="1">
      <alignment horizontal="right"/>
    </xf>
    <xf numFmtId="165" fontId="0" fillId="34" borderId="0" xfId="53" applyFont="1" applyFill="1" applyBorder="1" applyAlignment="1">
      <alignment/>
    </xf>
    <xf numFmtId="168" fontId="0" fillId="34" borderId="0" xfId="53" applyNumberFormat="1" applyFont="1" applyFill="1" applyBorder="1" applyAlignment="1">
      <alignment/>
    </xf>
    <xf numFmtId="165" fontId="0" fillId="34" borderId="0" xfId="53" applyNumberFormat="1" applyFont="1" applyFill="1" applyBorder="1" applyAlignment="1">
      <alignment/>
    </xf>
    <xf numFmtId="165" fontId="0" fillId="34" borderId="0" xfId="0" applyNumberFormat="1" applyFont="1" applyFill="1" applyBorder="1" applyAlignment="1">
      <alignment/>
    </xf>
    <xf numFmtId="3" fontId="0" fillId="0" borderId="37" xfId="0" applyNumberFormat="1" applyFont="1" applyBorder="1" applyAlignment="1">
      <alignment horizontal="right"/>
    </xf>
    <xf numFmtId="3" fontId="0" fillId="0" borderId="37" xfId="0" applyNumberFormat="1" applyBorder="1" applyAlignment="1">
      <alignment horizontal="right" vertical="center"/>
    </xf>
    <xf numFmtId="4" fontId="0" fillId="0" borderId="0" xfId="0" applyBorder="1" applyAlignment="1">
      <alignment horizontal="center" vertical="center"/>
    </xf>
    <xf numFmtId="4" fontId="3" fillId="0" borderId="0" xfId="0" applyFont="1" applyAlignment="1">
      <alignment horizontal="left" vertical="center"/>
    </xf>
    <xf numFmtId="168" fontId="3" fillId="0" borderId="0" xfId="0" applyNumberFormat="1" applyFont="1" applyAlignment="1">
      <alignment vertical="center"/>
    </xf>
    <xf numFmtId="4" fontId="3" fillId="0" borderId="0" xfId="0" applyFont="1" applyBorder="1" applyAlignment="1">
      <alignment vertical="center"/>
    </xf>
    <xf numFmtId="4" fontId="3" fillId="0" borderId="60" xfId="0" applyFont="1" applyBorder="1" applyAlignment="1">
      <alignment vertical="center"/>
    </xf>
    <xf numFmtId="4" fontId="3" fillId="0" borderId="62" xfId="0" applyFont="1" applyBorder="1" applyAlignment="1">
      <alignment vertical="center"/>
    </xf>
    <xf numFmtId="4" fontId="0" fillId="0" borderId="0" xfId="0" applyNumberFormat="1" applyFont="1" applyAlignment="1">
      <alignment/>
    </xf>
    <xf numFmtId="4" fontId="3" fillId="0" borderId="60" xfId="0" applyNumberFormat="1" applyFont="1" applyBorder="1" applyAlignment="1">
      <alignment/>
    </xf>
    <xf numFmtId="4" fontId="0" fillId="0" borderId="60" xfId="0" applyNumberFormat="1" applyFont="1" applyBorder="1" applyAlignment="1">
      <alignment/>
    </xf>
    <xf numFmtId="0" fontId="0" fillId="0" borderId="0" xfId="0" applyNumberFormat="1" applyFill="1" applyBorder="1" applyAlignment="1">
      <alignment horizontal="left"/>
    </xf>
    <xf numFmtId="0" fontId="0" fillId="0" borderId="24" xfId="0" applyNumberFormat="1" applyBorder="1" applyAlignment="1">
      <alignment/>
    </xf>
    <xf numFmtId="0" fontId="15" fillId="0" borderId="26" xfId="0" applyNumberFormat="1" applyFont="1" applyBorder="1" applyAlignment="1">
      <alignment/>
    </xf>
    <xf numFmtId="0" fontId="15" fillId="0" borderId="0" xfId="0" applyNumberFormat="1" applyFont="1" applyBorder="1" applyAlignment="1">
      <alignment/>
    </xf>
    <xf numFmtId="14" fontId="16" fillId="0" borderId="0" xfId="0" applyNumberFormat="1" applyFont="1" applyBorder="1" applyAlignment="1">
      <alignment horizontal="left"/>
    </xf>
    <xf numFmtId="0" fontId="15" fillId="0" borderId="0" xfId="0" applyNumberFormat="1" applyFont="1" applyBorder="1" applyAlignment="1">
      <alignment horizontal="left"/>
    </xf>
    <xf numFmtId="165" fontId="16" fillId="0" borderId="0" xfId="53" applyFont="1" applyBorder="1" applyAlignment="1">
      <alignment horizontal="left"/>
    </xf>
    <xf numFmtId="0" fontId="15" fillId="0" borderId="0" xfId="0" applyNumberFormat="1" applyFont="1" applyBorder="1" applyAlignment="1">
      <alignment horizontal="right"/>
    </xf>
    <xf numFmtId="0" fontId="15" fillId="0" borderId="27" xfId="0" applyNumberFormat="1" applyFont="1" applyBorder="1" applyAlignment="1">
      <alignment/>
    </xf>
    <xf numFmtId="17" fontId="0" fillId="0" borderId="37" xfId="53" applyNumberFormat="1" applyFont="1" applyBorder="1" applyAlignment="1">
      <alignment horizontal="right" vertical="center"/>
    </xf>
    <xf numFmtId="49" fontId="0" fillId="0" borderId="33" xfId="53" applyNumberFormat="1" applyFont="1" applyBorder="1" applyAlignment="1">
      <alignment horizontal="center" vertical="center"/>
    </xf>
    <xf numFmtId="0" fontId="3" fillId="0" borderId="60" xfId="0" applyNumberFormat="1" applyFont="1" applyBorder="1" applyAlignment="1">
      <alignment/>
    </xf>
    <xf numFmtId="0" fontId="0" fillId="0" borderId="60" xfId="0" applyNumberFormat="1" applyFont="1" applyBorder="1" applyAlignment="1">
      <alignment/>
    </xf>
    <xf numFmtId="0" fontId="3" fillId="40" borderId="60" xfId="0" applyNumberFormat="1" applyFont="1" applyFill="1" applyBorder="1" applyAlignment="1">
      <alignment/>
    </xf>
    <xf numFmtId="165" fontId="0" fillId="0" borderId="60" xfId="0" applyNumberFormat="1" applyFont="1" applyBorder="1" applyAlignment="1">
      <alignment/>
    </xf>
    <xf numFmtId="2" fontId="0" fillId="0" borderId="60" xfId="0" applyNumberFormat="1" applyFont="1" applyBorder="1" applyAlignment="1">
      <alignment/>
    </xf>
    <xf numFmtId="2" fontId="3" fillId="0" borderId="60" xfId="0" applyNumberFormat="1" applyFont="1" applyBorder="1" applyAlignment="1">
      <alignment/>
    </xf>
    <xf numFmtId="43" fontId="3" fillId="0" borderId="60" xfId="0" applyNumberFormat="1" applyFont="1" applyBorder="1" applyAlignment="1">
      <alignment/>
    </xf>
    <xf numFmtId="4" fontId="0" fillId="33" borderId="0" xfId="0" applyFill="1" applyAlignment="1">
      <alignment horizontal="left" vertical="center"/>
    </xf>
    <xf numFmtId="4" fontId="0" fillId="33" borderId="0" xfId="0" applyFill="1" applyAlignment="1">
      <alignment horizontal="center" vertical="center"/>
    </xf>
    <xf numFmtId="17" fontId="0" fillId="33" borderId="0" xfId="0" applyNumberFormat="1" applyFill="1" applyBorder="1" applyAlignment="1">
      <alignment horizontal="left" vertical="center"/>
    </xf>
    <xf numFmtId="17" fontId="0" fillId="33" borderId="0" xfId="0" applyNumberFormat="1" applyFont="1" applyFill="1" applyBorder="1" applyAlignment="1">
      <alignment horizontal="left" vertical="center"/>
    </xf>
    <xf numFmtId="17" fontId="3" fillId="33" borderId="0" xfId="0" applyNumberFormat="1" applyFont="1" applyFill="1" applyBorder="1" applyAlignment="1">
      <alignment horizontal="left" vertical="center"/>
    </xf>
    <xf numFmtId="4" fontId="3" fillId="33" borderId="13" xfId="0" applyNumberFormat="1" applyFont="1" applyFill="1" applyBorder="1" applyAlignment="1" quotePrefix="1">
      <alignment horizontal="center" vertical="center"/>
    </xf>
    <xf numFmtId="4" fontId="3" fillId="33" borderId="10" xfId="0" applyNumberFormat="1" applyFont="1" applyFill="1" applyBorder="1" applyAlignment="1" quotePrefix="1">
      <alignment horizontal="center" vertical="center"/>
    </xf>
    <xf numFmtId="4" fontId="0" fillId="33" borderId="0" xfId="0" applyNumberFormat="1" applyFont="1" applyFill="1" applyBorder="1" applyAlignment="1">
      <alignment horizontal="center" vertical="center"/>
    </xf>
    <xf numFmtId="4" fontId="2" fillId="33" borderId="0" xfId="0" applyNumberFormat="1" applyFont="1" applyFill="1" applyBorder="1" applyAlignment="1">
      <alignment horizontal="center" vertical="center"/>
    </xf>
    <xf numFmtId="18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34" borderId="0" xfId="0" applyFill="1" applyBorder="1" applyAlignment="1">
      <alignment horizontal="center" vertical="center"/>
    </xf>
    <xf numFmtId="17" fontId="0" fillId="33" borderId="19" xfId="0" applyNumberFormat="1" applyFont="1" applyFill="1" applyBorder="1" applyAlignment="1">
      <alignment horizontal="center" vertical="center"/>
    </xf>
    <xf numFmtId="17" fontId="0" fillId="33" borderId="11" xfId="0" applyNumberFormat="1" applyFont="1" applyFill="1" applyBorder="1" applyAlignment="1">
      <alignment horizontal="center" vertical="center"/>
    </xf>
    <xf numFmtId="185" fontId="0" fillId="33" borderId="38" xfId="0" applyNumberFormat="1" applyFont="1" applyFill="1" applyBorder="1" applyAlignment="1">
      <alignment horizontal="center" vertical="center"/>
    </xf>
    <xf numFmtId="185" fontId="0" fillId="33" borderId="11" xfId="0" applyNumberFormat="1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/>
    </xf>
    <xf numFmtId="4" fontId="0" fillId="0" borderId="38" xfId="0" applyNumberFormat="1" applyFont="1" applyFill="1" applyBorder="1" applyAlignment="1">
      <alignment horizontal="centerContinuous"/>
    </xf>
    <xf numFmtId="17" fontId="0" fillId="33" borderId="20" xfId="0" applyNumberFormat="1" applyFont="1" applyFill="1" applyBorder="1" applyAlignment="1">
      <alignment horizontal="center" vertical="center"/>
    </xf>
    <xf numFmtId="17" fontId="0" fillId="33" borderId="12" xfId="0" applyNumberFormat="1" applyFont="1" applyFill="1" applyBorder="1" applyAlignment="1">
      <alignment horizontal="center" vertical="center"/>
    </xf>
    <xf numFmtId="185" fontId="0" fillId="33" borderId="17" xfId="0" applyNumberFormat="1" applyFont="1" applyFill="1" applyBorder="1" applyAlignment="1">
      <alignment horizontal="center" vertical="center"/>
    </xf>
    <xf numFmtId="185" fontId="0" fillId="33" borderId="12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 horizontal="centerContinuous"/>
    </xf>
    <xf numFmtId="0" fontId="0" fillId="0" borderId="12" xfId="0" applyNumberFormat="1" applyFont="1" applyFill="1" applyBorder="1" applyAlignment="1" quotePrefix="1">
      <alignment horizontal="center"/>
    </xf>
    <xf numFmtId="0" fontId="0" fillId="0" borderId="43" xfId="0" applyNumberFormat="1" applyFill="1" applyBorder="1" applyAlignment="1">
      <alignment horizontal="center"/>
    </xf>
    <xf numFmtId="185" fontId="0" fillId="33" borderId="17" xfId="0" applyNumberFormat="1" applyFill="1" applyBorder="1" applyAlignment="1">
      <alignment horizontal="center" vertical="center"/>
    </xf>
    <xf numFmtId="14" fontId="0" fillId="0" borderId="12" xfId="0" applyNumberFormat="1" applyFont="1" applyFill="1" applyBorder="1" applyAlignment="1" quotePrefix="1">
      <alignment horizontal="center"/>
    </xf>
    <xf numFmtId="4" fontId="0" fillId="0" borderId="17" xfId="0" applyNumberFormat="1" applyFont="1" applyFill="1" applyBorder="1" applyAlignment="1">
      <alignment horizontal="center"/>
    </xf>
    <xf numFmtId="14" fontId="0" fillId="0" borderId="41" xfId="0" applyNumberFormat="1" applyFont="1" applyFill="1" applyBorder="1" applyAlignment="1">
      <alignment horizontal="center"/>
    </xf>
    <xf numFmtId="14" fontId="3" fillId="0" borderId="12" xfId="0" applyNumberFormat="1" applyFont="1" applyFill="1" applyBorder="1" applyAlignment="1">
      <alignment horizontal="center"/>
    </xf>
    <xf numFmtId="14" fontId="0" fillId="0" borderId="12" xfId="0" applyNumberFormat="1" applyFill="1" applyBorder="1" applyAlignment="1" quotePrefix="1">
      <alignment horizontal="center"/>
    </xf>
    <xf numFmtId="14" fontId="3" fillId="0" borderId="43" xfId="0" applyNumberFormat="1" applyFont="1" applyFill="1" applyBorder="1" applyAlignment="1">
      <alignment horizontal="center"/>
    </xf>
    <xf numFmtId="17" fontId="0" fillId="33" borderId="21" xfId="0" applyNumberFormat="1" applyFont="1" applyFill="1" applyBorder="1" applyAlignment="1">
      <alignment horizontal="center" vertical="center"/>
    </xf>
    <xf numFmtId="17" fontId="0" fillId="33" borderId="18" xfId="0" applyNumberFormat="1" applyFont="1" applyFill="1" applyBorder="1" applyAlignment="1">
      <alignment horizontal="center" vertical="center"/>
    </xf>
    <xf numFmtId="185" fontId="0" fillId="33" borderId="61" xfId="0" applyNumberFormat="1" applyFont="1" applyFill="1" applyBorder="1" applyAlignment="1">
      <alignment horizontal="center" vertical="center"/>
    </xf>
    <xf numFmtId="185" fontId="0" fillId="33" borderId="18" xfId="0" applyNumberFormat="1" applyFont="1" applyFill="1" applyBorder="1" applyAlignment="1">
      <alignment horizontal="center" vertical="center"/>
    </xf>
    <xf numFmtId="14" fontId="3" fillId="0" borderId="15" xfId="0" applyNumberFormat="1" applyFont="1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4" fontId="0" fillId="0" borderId="61" xfId="0" applyNumberFormat="1" applyFill="1" applyBorder="1" applyAlignment="1">
      <alignment horizontal="center"/>
    </xf>
    <xf numFmtId="17" fontId="2" fillId="33" borderId="0" xfId="0" applyNumberFormat="1" applyFont="1" applyFill="1" applyBorder="1" applyAlignment="1">
      <alignment horizontal="center" vertical="center"/>
    </xf>
    <xf numFmtId="4" fontId="0" fillId="33" borderId="0" xfId="0" applyFont="1" applyFill="1" applyBorder="1" applyAlignment="1">
      <alignment horizontal="center" vertical="center"/>
    </xf>
    <xf numFmtId="165" fontId="0" fillId="33" borderId="37" xfId="53" applyFont="1" applyFill="1" applyBorder="1" applyAlignment="1">
      <alignment horizontal="right" vertical="center"/>
    </xf>
    <xf numFmtId="173" fontId="0" fillId="33" borderId="33" xfId="53" applyNumberFormat="1" applyFont="1" applyFill="1" applyBorder="1" applyAlignment="1">
      <alignment horizontal="center" vertical="center"/>
    </xf>
    <xf numFmtId="165" fontId="0" fillId="33" borderId="33" xfId="53" applyFont="1" applyFill="1" applyBorder="1" applyAlignment="1">
      <alignment horizontal="center" vertical="center"/>
    </xf>
    <xf numFmtId="176" fontId="0" fillId="34" borderId="33" xfId="53" applyNumberFormat="1" applyFont="1" applyFill="1" applyBorder="1" applyAlignment="1">
      <alignment/>
    </xf>
    <xf numFmtId="186" fontId="0" fillId="0" borderId="0" xfId="0" applyNumberFormat="1" applyFont="1" applyFill="1" applyAlignment="1">
      <alignment/>
    </xf>
    <xf numFmtId="186" fontId="0" fillId="0" borderId="0" xfId="0" applyNumberFormat="1" applyFont="1" applyAlignment="1">
      <alignment/>
    </xf>
    <xf numFmtId="186" fontId="3" fillId="0" borderId="10" xfId="0" applyNumberFormat="1" applyFont="1" applyFill="1" applyBorder="1" applyAlignment="1" quotePrefix="1">
      <alignment horizontal="center" vertical="center"/>
    </xf>
    <xf numFmtId="186" fontId="2" fillId="0" borderId="0" xfId="0" applyNumberFormat="1" applyFont="1" applyFill="1" applyBorder="1" applyAlignment="1">
      <alignment horizontal="right" vertical="center"/>
    </xf>
    <xf numFmtId="186" fontId="0" fillId="0" borderId="11" xfId="0" applyNumberFormat="1" applyFont="1" applyFill="1" applyBorder="1" applyAlignment="1">
      <alignment horizontal="center"/>
    </xf>
    <xf numFmtId="186" fontId="0" fillId="0" borderId="12" xfId="0" applyNumberFormat="1" applyFont="1" applyFill="1" applyBorder="1" applyAlignment="1">
      <alignment horizontal="center"/>
    </xf>
    <xf numFmtId="186" fontId="0" fillId="0" borderId="18" xfId="0" applyNumberFormat="1" applyFont="1" applyFill="1" applyBorder="1" applyAlignment="1">
      <alignment horizontal="centerContinuous"/>
    </xf>
    <xf numFmtId="186" fontId="3" fillId="0" borderId="0" xfId="0" applyNumberFormat="1" applyFont="1" applyBorder="1" applyAlignment="1">
      <alignment/>
    </xf>
    <xf numFmtId="176" fontId="0" fillId="0" borderId="33" xfId="53" applyNumberFormat="1" applyFont="1" applyBorder="1" applyAlignment="1">
      <alignment/>
    </xf>
    <xf numFmtId="0" fontId="0" fillId="0" borderId="45" xfId="0" applyNumberFormat="1" applyFill="1" applyBorder="1" applyAlignment="1">
      <alignment horizontal="center"/>
    </xf>
    <xf numFmtId="14" fontId="3" fillId="0" borderId="45" xfId="0" applyNumberFormat="1" applyFont="1" applyFill="1" applyBorder="1" applyAlignment="1">
      <alignment horizontal="center"/>
    </xf>
    <xf numFmtId="0" fontId="0" fillId="0" borderId="63" xfId="0" applyNumberFormat="1" applyFill="1" applyBorder="1" applyAlignment="1">
      <alignment horizontal="center"/>
    </xf>
    <xf numFmtId="4" fontId="0" fillId="34" borderId="0" xfId="0" applyFill="1" applyAlignment="1">
      <alignment horizontal="center" vertical="center"/>
    </xf>
    <xf numFmtId="4" fontId="2" fillId="33" borderId="64" xfId="0" applyNumberFormat="1" applyFont="1" applyFill="1" applyBorder="1" applyAlignment="1">
      <alignment horizontal="center" vertical="center"/>
    </xf>
    <xf numFmtId="185" fontId="0" fillId="33" borderId="11" xfId="0" applyNumberFormat="1" applyFill="1" applyBorder="1" applyAlignment="1">
      <alignment horizontal="center" vertical="center"/>
    </xf>
    <xf numFmtId="185" fontId="0" fillId="33" borderId="31" xfId="0" applyNumberFormat="1" applyFont="1" applyFill="1" applyBorder="1" applyAlignment="1">
      <alignment horizontal="center" vertical="center"/>
    </xf>
    <xf numFmtId="185" fontId="0" fillId="33" borderId="12" xfId="0" applyNumberFormat="1" applyFill="1" applyBorder="1" applyAlignment="1">
      <alignment horizontal="center" vertical="center"/>
    </xf>
    <xf numFmtId="185" fontId="0" fillId="33" borderId="32" xfId="0" applyNumberFormat="1" applyFont="1" applyFill="1" applyBorder="1" applyAlignment="1">
      <alignment horizontal="center" vertical="center"/>
    </xf>
    <xf numFmtId="185" fontId="0" fillId="33" borderId="43" xfId="0" applyNumberFormat="1" applyFont="1" applyFill="1" applyBorder="1" applyAlignment="1">
      <alignment horizontal="center" vertical="center"/>
    </xf>
    <xf numFmtId="185" fontId="0" fillId="33" borderId="18" xfId="0" applyNumberFormat="1" applyFill="1" applyBorder="1" applyAlignment="1">
      <alignment horizontal="center" vertical="center"/>
    </xf>
    <xf numFmtId="185" fontId="6" fillId="33" borderId="16" xfId="0" applyNumberFormat="1" applyFont="1" applyFill="1" applyBorder="1" applyAlignment="1">
      <alignment horizontal="center" vertical="center"/>
    </xf>
    <xf numFmtId="165" fontId="0" fillId="33" borderId="33" xfId="53" applyNumberFormat="1" applyFont="1" applyFill="1" applyBorder="1" applyAlignment="1">
      <alignment horizontal="center" vertical="center"/>
    </xf>
    <xf numFmtId="17" fontId="0" fillId="0" borderId="33" xfId="0" applyNumberFormat="1" applyFont="1" applyBorder="1" applyAlignment="1">
      <alignment horizontal="right"/>
    </xf>
    <xf numFmtId="165" fontId="0" fillId="0" borderId="39" xfId="53" applyFont="1" applyBorder="1" applyAlignment="1">
      <alignment horizontal="left"/>
    </xf>
    <xf numFmtId="165" fontId="18" fillId="0" borderId="39" xfId="53" applyFont="1" applyBorder="1" applyAlignment="1">
      <alignment horizontal="left"/>
    </xf>
    <xf numFmtId="17" fontId="0" fillId="33" borderId="37" xfId="0" applyNumberFormat="1" applyFill="1" applyBorder="1" applyAlignment="1">
      <alignment horizontal="right" vertical="center"/>
    </xf>
    <xf numFmtId="17" fontId="0" fillId="0" borderId="33" xfId="0" applyNumberFormat="1" applyBorder="1" applyAlignment="1">
      <alignment horizontal="right"/>
    </xf>
    <xf numFmtId="17" fontId="0" fillId="0" borderId="33" xfId="0" applyNumberFormat="1" applyFill="1" applyBorder="1" applyAlignment="1">
      <alignment horizontal="right"/>
    </xf>
    <xf numFmtId="4" fontId="63" fillId="0" borderId="0" xfId="0" applyNumberFormat="1" applyFont="1" applyFill="1" applyAlignment="1">
      <alignment/>
    </xf>
    <xf numFmtId="4" fontId="3" fillId="40" borderId="60" xfId="0" applyNumberFormat="1" applyFont="1" applyFill="1" applyBorder="1" applyAlignment="1">
      <alignment horizontal="center"/>
    </xf>
    <xf numFmtId="4" fontId="0" fillId="34" borderId="33" xfId="0" applyNumberFormat="1" applyFont="1" applyFill="1" applyBorder="1" applyAlignment="1">
      <alignment horizontal="right"/>
    </xf>
    <xf numFmtId="4" fontId="0" fillId="34" borderId="33" xfId="0" applyFill="1" applyBorder="1" applyAlignment="1">
      <alignment horizontal="right" vertical="center"/>
    </xf>
    <xf numFmtId="4" fontId="0" fillId="34" borderId="39" xfId="0" applyNumberFormat="1" applyFont="1" applyFill="1" applyBorder="1" applyAlignment="1">
      <alignment horizontal="right"/>
    </xf>
    <xf numFmtId="0" fontId="0" fillId="0" borderId="40" xfId="0" applyNumberFormat="1" applyFill="1" applyBorder="1" applyAlignment="1">
      <alignment horizontal="center"/>
    </xf>
    <xf numFmtId="0" fontId="0" fillId="0" borderId="41" xfId="0" applyNumberFormat="1" applyFill="1" applyBorder="1" applyAlignment="1">
      <alignment horizontal="center"/>
    </xf>
    <xf numFmtId="185" fontId="0" fillId="33" borderId="12" xfId="0" applyNumberFormat="1" applyFill="1" applyBorder="1" applyAlignment="1" quotePrefix="1">
      <alignment horizontal="center" vertical="center"/>
    </xf>
    <xf numFmtId="0" fontId="0" fillId="0" borderId="17" xfId="0" applyNumberFormat="1" applyFill="1" applyBorder="1" applyAlignment="1">
      <alignment horizontal="center"/>
    </xf>
    <xf numFmtId="0" fontId="0" fillId="33" borderId="43" xfId="0" applyNumberFormat="1" applyFill="1" applyBorder="1" applyAlignment="1" quotePrefix="1">
      <alignment horizontal="center"/>
    </xf>
    <xf numFmtId="9" fontId="0" fillId="0" borderId="41" xfId="0" applyNumberFormat="1" applyFill="1" applyBorder="1" applyAlignment="1">
      <alignment horizontal="center"/>
    </xf>
    <xf numFmtId="9" fontId="0" fillId="0" borderId="17" xfId="0" applyNumberFormat="1" applyFill="1" applyBorder="1" applyAlignment="1">
      <alignment horizontal="center"/>
    </xf>
    <xf numFmtId="0" fontId="0" fillId="33" borderId="43" xfId="0" applyNumberFormat="1" applyFill="1" applyBorder="1" applyAlignment="1">
      <alignment horizontal="center"/>
    </xf>
    <xf numFmtId="9" fontId="0" fillId="0" borderId="17" xfId="0" applyNumberFormat="1" applyFont="1" applyFill="1" applyBorder="1" applyAlignment="1">
      <alignment horizontal="center"/>
    </xf>
    <xf numFmtId="14" fontId="0" fillId="33" borderId="12" xfId="0" applyNumberFormat="1" applyFill="1" applyBorder="1" applyAlignment="1">
      <alignment horizontal="center"/>
    </xf>
    <xf numFmtId="14" fontId="3" fillId="33" borderId="43" xfId="0" applyNumberFormat="1" applyFont="1" applyFill="1" applyBorder="1" applyAlignment="1">
      <alignment horizontal="center"/>
    </xf>
    <xf numFmtId="49" fontId="0" fillId="0" borderId="18" xfId="0" applyNumberFormat="1" applyFill="1" applyBorder="1" applyAlignment="1">
      <alignment horizontal="center"/>
    </xf>
    <xf numFmtId="185" fontId="19" fillId="33" borderId="18" xfId="0" applyNumberFormat="1" applyFont="1" applyFill="1" applyBorder="1" applyAlignment="1">
      <alignment horizontal="center" vertical="center"/>
    </xf>
    <xf numFmtId="4" fontId="0" fillId="33" borderId="65" xfId="0" applyFont="1" applyFill="1" applyBorder="1" applyAlignment="1">
      <alignment horizontal="center" vertical="center"/>
    </xf>
    <xf numFmtId="17" fontId="0" fillId="34" borderId="33" xfId="0" applyNumberFormat="1" applyFont="1" applyFill="1" applyBorder="1" applyAlignment="1">
      <alignment horizontal="right" vertical="center"/>
    </xf>
    <xf numFmtId="165" fontId="0" fillId="34" borderId="37" xfId="53" applyFont="1" applyFill="1" applyBorder="1" applyAlignment="1">
      <alignment horizontal="right" vertical="center"/>
    </xf>
    <xf numFmtId="165" fontId="0" fillId="34" borderId="33" xfId="53" applyFont="1" applyFill="1" applyBorder="1" applyAlignment="1">
      <alignment horizontal="center" vertical="center"/>
    </xf>
    <xf numFmtId="175" fontId="0" fillId="34" borderId="33" xfId="53" applyNumberFormat="1" applyFont="1" applyFill="1" applyBorder="1" applyAlignment="1">
      <alignment/>
    </xf>
    <xf numFmtId="4" fontId="0" fillId="33" borderId="60" xfId="0" applyFill="1" applyBorder="1" applyAlignment="1">
      <alignment horizontal="center" vertical="center"/>
    </xf>
    <xf numFmtId="165" fontId="3" fillId="33" borderId="0" xfId="53" applyFont="1" applyFill="1" applyBorder="1" applyAlignment="1">
      <alignment/>
    </xf>
    <xf numFmtId="165" fontId="3" fillId="33" borderId="60" xfId="53" applyFont="1" applyFill="1" applyBorder="1" applyAlignment="1">
      <alignment/>
    </xf>
    <xf numFmtId="0" fontId="3" fillId="33" borderId="0" xfId="0" applyNumberFormat="1" applyFont="1" applyFill="1" applyBorder="1" applyAlignment="1">
      <alignment/>
    </xf>
    <xf numFmtId="4" fontId="3" fillId="33" borderId="0" xfId="0" applyFont="1" applyFill="1" applyAlignment="1">
      <alignment horizontal="center" vertical="center"/>
    </xf>
    <xf numFmtId="4" fontId="2" fillId="0" borderId="0" xfId="0" applyFont="1" applyAlignment="1">
      <alignment horizontal="center" vertical="center"/>
    </xf>
    <xf numFmtId="4" fontId="20" fillId="0" borderId="0" xfId="0" applyFont="1" applyAlignment="1">
      <alignment horizontal="center" vertical="center"/>
    </xf>
    <xf numFmtId="2" fontId="0" fillId="0" borderId="0" xfId="0" applyNumberFormat="1" applyFont="1" applyAlignment="1">
      <alignment/>
    </xf>
    <xf numFmtId="185" fontId="0" fillId="34" borderId="11" xfId="0" applyNumberFormat="1" applyFill="1" applyBorder="1" applyAlignment="1">
      <alignment horizontal="center" vertical="center"/>
    </xf>
    <xf numFmtId="185" fontId="0" fillId="34" borderId="12" xfId="0" applyNumberForma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/>
    </xf>
    <xf numFmtId="9" fontId="0" fillId="0" borderId="15" xfId="0" applyNumberFormat="1" applyFill="1" applyBorder="1" applyAlignment="1">
      <alignment horizontal="center"/>
    </xf>
    <xf numFmtId="0" fontId="0" fillId="0" borderId="61" xfId="0" applyNumberFormat="1" applyFont="1" applyFill="1" applyBorder="1" applyAlignment="1">
      <alignment horizontal="center"/>
    </xf>
    <xf numFmtId="2" fontId="3" fillId="40" borderId="60" xfId="0" applyNumberFormat="1" applyFont="1" applyFill="1" applyBorder="1" applyAlignment="1">
      <alignment/>
    </xf>
    <xf numFmtId="173" fontId="0" fillId="34" borderId="39" xfId="53" applyNumberFormat="1" applyFont="1" applyFill="1" applyBorder="1" applyAlignment="1">
      <alignment horizontal="left"/>
    </xf>
    <xf numFmtId="2" fontId="0" fillId="0" borderId="60" xfId="0" applyNumberFormat="1" applyFont="1" applyBorder="1" applyAlignment="1">
      <alignment horizontal="center"/>
    </xf>
    <xf numFmtId="17" fontId="0" fillId="0" borderId="0" xfId="0" applyNumberFormat="1" applyFont="1" applyBorder="1" applyAlignment="1">
      <alignment horizontal="right"/>
    </xf>
    <xf numFmtId="165" fontId="0" fillId="33" borderId="0" xfId="53" applyFont="1" applyFill="1" applyBorder="1" applyAlignment="1">
      <alignment horizontal="center" vertical="center"/>
    </xf>
    <xf numFmtId="173" fontId="0" fillId="0" borderId="0" xfId="53" applyNumberFormat="1" applyFont="1" applyBorder="1" applyAlignment="1">
      <alignment horizontal="left"/>
    </xf>
    <xf numFmtId="175" fontId="0" fillId="33" borderId="0" xfId="53" applyNumberFormat="1" applyFont="1" applyFill="1" applyBorder="1" applyAlignment="1">
      <alignment/>
    </xf>
    <xf numFmtId="2" fontId="0" fillId="0" borderId="0" xfId="0" applyNumberFormat="1" applyFont="1" applyBorder="1" applyAlignment="1">
      <alignment horizontal="center"/>
    </xf>
    <xf numFmtId="165" fontId="0" fillId="33" borderId="60" xfId="53" applyFon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165" fontId="0" fillId="0" borderId="14" xfId="53" applyFont="1" applyBorder="1" applyAlignment="1">
      <alignment horizontal="center"/>
    </xf>
    <xf numFmtId="185" fontId="0" fillId="33" borderId="40" xfId="0" applyNumberFormat="1" applyFont="1" applyFill="1" applyBorder="1" applyAlignment="1">
      <alignment horizontal="center" vertical="center"/>
    </xf>
    <xf numFmtId="185" fontId="0" fillId="33" borderId="41" xfId="0" applyNumberFormat="1" applyFill="1" applyBorder="1" applyAlignment="1">
      <alignment horizontal="center" vertical="center"/>
    </xf>
    <xf numFmtId="185" fontId="0" fillId="33" borderId="41" xfId="0" applyNumberFormat="1" applyFont="1" applyFill="1" applyBorder="1" applyAlignment="1">
      <alignment horizontal="center" vertical="center"/>
    </xf>
    <xf numFmtId="17" fontId="0" fillId="0" borderId="12" xfId="0" applyNumberFormat="1" applyFont="1" applyFill="1" applyBorder="1" applyAlignment="1">
      <alignment horizontal="center"/>
    </xf>
    <xf numFmtId="17" fontId="0" fillId="0" borderId="17" xfId="0" applyNumberFormat="1" applyFont="1" applyFill="1" applyBorder="1" applyAlignment="1">
      <alignment horizontal="center"/>
    </xf>
    <xf numFmtId="17" fontId="0" fillId="0" borderId="17" xfId="0" applyNumberFormat="1" applyFill="1" applyBorder="1" applyAlignment="1">
      <alignment horizontal="center"/>
    </xf>
    <xf numFmtId="0" fontId="0" fillId="0" borderId="66" xfId="0" applyNumberFormat="1" applyFont="1" applyFill="1" applyBorder="1" applyAlignment="1">
      <alignment horizontal="center"/>
    </xf>
    <xf numFmtId="0" fontId="0" fillId="0" borderId="67" xfId="0" applyNumberFormat="1" applyFill="1" applyBorder="1" applyAlignment="1">
      <alignment horizontal="center"/>
    </xf>
    <xf numFmtId="185" fontId="0" fillId="33" borderId="15" xfId="0" applyNumberFormat="1" applyFont="1" applyFill="1" applyBorder="1" applyAlignment="1">
      <alignment horizontal="center" vertical="center"/>
    </xf>
    <xf numFmtId="0" fontId="6" fillId="33" borderId="18" xfId="0" applyNumberFormat="1" applyFont="1" applyFill="1" applyBorder="1" applyAlignment="1">
      <alignment horizontal="center"/>
    </xf>
    <xf numFmtId="4" fontId="0" fillId="33" borderId="14" xfId="0" applyFont="1" applyFill="1" applyBorder="1" applyAlignment="1">
      <alignment horizontal="center" vertical="center"/>
    </xf>
    <xf numFmtId="17" fontId="0" fillId="0" borderId="37" xfId="0" applyNumberFormat="1" applyFont="1" applyBorder="1" applyAlignment="1">
      <alignment horizontal="right"/>
    </xf>
    <xf numFmtId="165" fontId="0" fillId="0" borderId="36" xfId="53" applyFont="1" applyBorder="1" applyAlignment="1">
      <alignment horizontal="center"/>
    </xf>
    <xf numFmtId="165" fontId="0" fillId="0" borderId="39" xfId="53" applyFont="1" applyBorder="1" applyAlignment="1">
      <alignment/>
    </xf>
    <xf numFmtId="165" fontId="0" fillId="0" borderId="0" xfId="53" applyFont="1" applyBorder="1" applyAlignment="1">
      <alignment/>
    </xf>
    <xf numFmtId="173" fontId="0" fillId="0" borderId="0" xfId="53" applyNumberFormat="1" applyFont="1" applyBorder="1" applyAlignment="1">
      <alignment/>
    </xf>
    <xf numFmtId="165" fontId="68" fillId="34" borderId="0" xfId="53" applyFont="1" applyFill="1" applyBorder="1" applyAlignment="1">
      <alignment/>
    </xf>
    <xf numFmtId="173" fontId="68" fillId="34" borderId="0" xfId="53" applyNumberFormat="1" applyFont="1" applyFill="1" applyBorder="1" applyAlignment="1">
      <alignment/>
    </xf>
    <xf numFmtId="165" fontId="68" fillId="34" borderId="0" xfId="53" applyFont="1" applyFill="1" applyBorder="1" applyAlignment="1">
      <alignment horizontal="center" vertical="center"/>
    </xf>
    <xf numFmtId="165" fontId="0" fillId="0" borderId="68" xfId="53" applyFont="1" applyBorder="1" applyAlignment="1">
      <alignment horizontal="center"/>
    </xf>
    <xf numFmtId="165" fontId="0" fillId="0" borderId="69" xfId="53" applyFont="1" applyBorder="1" applyAlignment="1">
      <alignment/>
    </xf>
    <xf numFmtId="4" fontId="0" fillId="34" borderId="36" xfId="0" applyFill="1" applyBorder="1" applyAlignment="1">
      <alignment horizontal="center" vertical="center"/>
    </xf>
    <xf numFmtId="173" fontId="0" fillId="34" borderId="33" xfId="53" applyNumberFormat="1" applyFont="1" applyFill="1" applyBorder="1" applyAlignment="1">
      <alignment/>
    </xf>
    <xf numFmtId="165" fontId="0" fillId="34" borderId="37" xfId="53" applyFont="1" applyFill="1" applyBorder="1" applyAlignment="1">
      <alignment horizontal="center" vertical="center"/>
    </xf>
    <xf numFmtId="165" fontId="0" fillId="0" borderId="39" xfId="53" applyFont="1" applyBorder="1" applyAlignment="1">
      <alignment/>
    </xf>
    <xf numFmtId="165" fontId="0" fillId="34" borderId="39" xfId="53" applyFont="1" applyFill="1" applyBorder="1" applyAlignment="1">
      <alignment/>
    </xf>
    <xf numFmtId="165" fontId="0" fillId="34" borderId="0" xfId="53" applyFont="1" applyFill="1" applyBorder="1" applyAlignment="1">
      <alignment horizontal="center" vertical="center"/>
    </xf>
    <xf numFmtId="173" fontId="0" fillId="34" borderId="0" xfId="53" applyNumberFormat="1" applyFont="1" applyFill="1" applyBorder="1" applyAlignment="1">
      <alignment/>
    </xf>
    <xf numFmtId="165" fontId="0" fillId="0" borderId="0" xfId="53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4" fontId="3" fillId="0" borderId="0" xfId="0" applyFont="1" applyAlignment="1">
      <alignment horizontal="center" vertical="center"/>
    </xf>
    <xf numFmtId="0" fontId="3" fillId="33" borderId="0" xfId="0" applyNumberFormat="1" applyFont="1" applyFill="1" applyAlignment="1">
      <alignment/>
    </xf>
    <xf numFmtId="4" fontId="2" fillId="33" borderId="14" xfId="0" applyNumberFormat="1" applyFont="1" applyFill="1" applyBorder="1" applyAlignment="1">
      <alignment horizontal="center" vertical="center"/>
    </xf>
    <xf numFmtId="17" fontId="0" fillId="33" borderId="34" xfId="0" applyNumberFormat="1" applyFont="1" applyFill="1" applyBorder="1" applyAlignment="1">
      <alignment horizontal="center" vertical="center"/>
    </xf>
    <xf numFmtId="17" fontId="0" fillId="33" borderId="11" xfId="0" applyNumberFormat="1" applyFill="1" applyBorder="1" applyAlignment="1">
      <alignment horizontal="center" vertical="center"/>
    </xf>
    <xf numFmtId="17" fontId="0" fillId="33" borderId="40" xfId="0" applyNumberFormat="1" applyFill="1" applyBorder="1" applyAlignment="1">
      <alignment horizontal="center" vertical="center"/>
    </xf>
    <xf numFmtId="0" fontId="0" fillId="33" borderId="31" xfId="0" applyNumberFormat="1" applyFont="1" applyFill="1" applyBorder="1" applyAlignment="1">
      <alignment horizontal="center"/>
    </xf>
    <xf numFmtId="17" fontId="0" fillId="33" borderId="35" xfId="0" applyNumberFormat="1" applyFont="1" applyFill="1" applyBorder="1" applyAlignment="1">
      <alignment horizontal="center" vertical="center"/>
    </xf>
    <xf numFmtId="17" fontId="0" fillId="33" borderId="12" xfId="0" applyNumberFormat="1" applyFill="1" applyBorder="1" applyAlignment="1">
      <alignment horizontal="center" vertical="center"/>
    </xf>
    <xf numFmtId="17" fontId="0" fillId="33" borderId="41" xfId="0" applyNumberFormat="1" applyFill="1" applyBorder="1" applyAlignment="1">
      <alignment horizontal="center" vertical="center"/>
    </xf>
    <xf numFmtId="49" fontId="0" fillId="33" borderId="12" xfId="0" applyNumberFormat="1" applyFill="1" applyBorder="1" applyAlignment="1">
      <alignment horizontal="center" vertical="center"/>
    </xf>
    <xf numFmtId="0" fontId="0" fillId="33" borderId="32" xfId="0" applyNumberFormat="1" applyFont="1" applyFill="1" applyBorder="1" applyAlignment="1" quotePrefix="1">
      <alignment horizontal="center"/>
    </xf>
    <xf numFmtId="9" fontId="0" fillId="33" borderId="41" xfId="0" applyNumberFormat="1" applyFont="1" applyFill="1" applyBorder="1" applyAlignment="1">
      <alignment horizontal="center" vertical="center"/>
    </xf>
    <xf numFmtId="0" fontId="0" fillId="33" borderId="32" xfId="0" applyNumberFormat="1" applyFont="1" applyFill="1" applyBorder="1" applyAlignment="1">
      <alignment horizontal="center"/>
    </xf>
    <xf numFmtId="17" fontId="0" fillId="33" borderId="46" xfId="0" applyNumberFormat="1" applyFont="1" applyFill="1" applyBorder="1" applyAlignment="1">
      <alignment horizontal="center" vertical="center"/>
    </xf>
    <xf numFmtId="17" fontId="0" fillId="33" borderId="18" xfId="0" applyNumberFormat="1" applyFill="1" applyBorder="1" applyAlignment="1">
      <alignment horizontal="center" vertical="center"/>
    </xf>
    <xf numFmtId="17" fontId="0" fillId="33" borderId="15" xfId="0" applyNumberFormat="1" applyFont="1" applyFill="1" applyBorder="1" applyAlignment="1">
      <alignment horizontal="center" vertical="center"/>
    </xf>
    <xf numFmtId="0" fontId="0" fillId="33" borderId="16" xfId="0" applyNumberFormat="1" applyFill="1" applyBorder="1" applyAlignment="1">
      <alignment horizontal="center"/>
    </xf>
    <xf numFmtId="4" fontId="3" fillId="40" borderId="60" xfId="0" applyFont="1" applyFill="1" applyBorder="1" applyAlignment="1">
      <alignment horizontal="center" vertical="center"/>
    </xf>
    <xf numFmtId="17" fontId="2" fillId="33" borderId="68" xfId="0" applyNumberFormat="1" applyFont="1" applyFill="1" applyBorder="1" applyAlignment="1">
      <alignment horizontal="center" vertical="center"/>
    </xf>
    <xf numFmtId="165" fontId="2" fillId="33" borderId="0" xfId="53" applyFont="1" applyFill="1" applyBorder="1" applyAlignment="1">
      <alignment horizontal="center" vertical="center"/>
    </xf>
    <xf numFmtId="4" fontId="0" fillId="33" borderId="70" xfId="0" applyFont="1" applyFill="1" applyBorder="1" applyAlignment="1">
      <alignment horizontal="center" vertical="center"/>
    </xf>
    <xf numFmtId="172" fontId="0" fillId="33" borderId="0" xfId="0" applyNumberFormat="1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 horizontal="center"/>
    </xf>
    <xf numFmtId="14" fontId="3" fillId="33" borderId="0" xfId="0" applyNumberFormat="1" applyFont="1" applyFill="1" applyBorder="1" applyAlignment="1" quotePrefix="1">
      <alignment horizontal="center"/>
    </xf>
    <xf numFmtId="2" fontId="0" fillId="33" borderId="33" xfId="0" applyNumberFormat="1" applyFont="1" applyFill="1" applyBorder="1" applyAlignment="1">
      <alignment/>
    </xf>
    <xf numFmtId="165" fontId="0" fillId="33" borderId="0" xfId="53" applyFont="1" applyFill="1" applyBorder="1" applyAlignment="1">
      <alignment horizontal="left" vertical="center"/>
    </xf>
    <xf numFmtId="173" fontId="0" fillId="33" borderId="0" xfId="53" applyNumberFormat="1" applyFont="1" applyFill="1" applyBorder="1" applyAlignment="1">
      <alignment horizontal="left" vertical="center"/>
    </xf>
    <xf numFmtId="2" fontId="0" fillId="33" borderId="0" xfId="0" applyNumberFormat="1" applyFont="1" applyFill="1" applyBorder="1" applyAlignment="1">
      <alignment/>
    </xf>
    <xf numFmtId="4" fontId="0" fillId="33" borderId="0" xfId="0" applyFill="1" applyBorder="1" applyAlignment="1">
      <alignment horizontal="left" vertical="center"/>
    </xf>
    <xf numFmtId="4" fontId="0" fillId="33" borderId="0" xfId="0" applyFill="1" applyAlignment="1">
      <alignment horizontal="center" vertical="center"/>
    </xf>
    <xf numFmtId="4" fontId="3" fillId="33" borderId="0" xfId="0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>
      <alignment/>
    </xf>
    <xf numFmtId="9" fontId="0" fillId="33" borderId="12" xfId="0" applyNumberFormat="1" applyFill="1" applyBorder="1" applyAlignment="1">
      <alignment horizontal="center" vertical="center"/>
    </xf>
    <xf numFmtId="185" fontId="19" fillId="33" borderId="12" xfId="0" applyNumberFormat="1" applyFont="1" applyFill="1" applyBorder="1" applyAlignment="1">
      <alignment horizontal="center" vertical="center"/>
    </xf>
    <xf numFmtId="9" fontId="0" fillId="33" borderId="41" xfId="0" applyNumberFormat="1" applyFill="1" applyBorder="1" applyAlignment="1">
      <alignment horizontal="center" vertical="center"/>
    </xf>
    <xf numFmtId="17" fontId="0" fillId="33" borderId="15" xfId="0" applyNumberFormat="1" applyFill="1" applyBorder="1" applyAlignment="1">
      <alignment horizontal="center" vertical="center"/>
    </xf>
    <xf numFmtId="9" fontId="0" fillId="0" borderId="22" xfId="0" applyNumberFormat="1" applyFill="1" applyBorder="1" applyAlignment="1">
      <alignment horizontal="center"/>
    </xf>
    <xf numFmtId="165" fontId="0" fillId="33" borderId="39" xfId="53" applyFont="1" applyFill="1" applyBorder="1" applyAlignment="1">
      <alignment horizontal="center" vertical="center"/>
    </xf>
    <xf numFmtId="4" fontId="0" fillId="34" borderId="39" xfId="53" applyNumberFormat="1" applyFont="1" applyFill="1" applyBorder="1" applyAlignment="1">
      <alignment horizontal="center"/>
    </xf>
    <xf numFmtId="165" fontId="0" fillId="0" borderId="36" xfId="53" applyFont="1" applyBorder="1" applyAlignment="1">
      <alignment horizontal="center"/>
    </xf>
    <xf numFmtId="4" fontId="3" fillId="34" borderId="60" xfId="0" applyFont="1" applyFill="1" applyBorder="1" applyAlignment="1">
      <alignment horizontal="center" vertical="center"/>
    </xf>
    <xf numFmtId="165" fontId="0" fillId="34" borderId="39" xfId="53" applyFont="1" applyFill="1" applyBorder="1" applyAlignment="1">
      <alignment horizontal="left"/>
    </xf>
    <xf numFmtId="165" fontId="0" fillId="34" borderId="33" xfId="53" applyFont="1" applyFill="1" applyBorder="1" applyAlignment="1">
      <alignment horizontal="right"/>
    </xf>
    <xf numFmtId="4" fontId="0" fillId="0" borderId="71" xfId="0" applyBorder="1" applyAlignment="1">
      <alignment horizontal="center" vertical="top" wrapText="1"/>
    </xf>
    <xf numFmtId="165" fontId="3" fillId="34" borderId="0" xfId="53" applyFont="1" applyFill="1" applyBorder="1" applyAlignment="1">
      <alignment/>
    </xf>
    <xf numFmtId="4" fontId="3" fillId="33" borderId="0" xfId="0" applyFont="1" applyFill="1" applyBorder="1" applyAlignment="1">
      <alignment horizontal="center" vertical="center"/>
    </xf>
    <xf numFmtId="0" fontId="6" fillId="0" borderId="29" xfId="0" applyNumberFormat="1" applyFont="1" applyBorder="1" applyAlignment="1">
      <alignment/>
    </xf>
    <xf numFmtId="0" fontId="0" fillId="0" borderId="72" xfId="0" applyNumberFormat="1" applyBorder="1" applyAlignment="1">
      <alignment/>
    </xf>
    <xf numFmtId="0" fontId="0" fillId="0" borderId="72" xfId="0" applyNumberFormat="1" applyFont="1" applyBorder="1" applyAlignment="1">
      <alignment horizontal="center"/>
    </xf>
    <xf numFmtId="0" fontId="0" fillId="0" borderId="72" xfId="0" applyNumberFormat="1" applyFont="1" applyBorder="1" applyAlignment="1">
      <alignment/>
    </xf>
    <xf numFmtId="0" fontId="0" fillId="0" borderId="72" xfId="0" applyNumberFormat="1" applyFont="1" applyBorder="1" applyAlignment="1">
      <alignment horizontal="right"/>
    </xf>
    <xf numFmtId="165" fontId="0" fillId="0" borderId="72" xfId="53" applyFont="1" applyBorder="1" applyAlignment="1">
      <alignment/>
    </xf>
    <xf numFmtId="165" fontId="0" fillId="0" borderId="28" xfId="53" applyFont="1" applyBorder="1" applyAlignment="1">
      <alignment/>
    </xf>
    <xf numFmtId="165" fontId="3" fillId="0" borderId="28" xfId="0" applyNumberFormat="1" applyFont="1" applyBorder="1" applyAlignment="1">
      <alignment/>
    </xf>
    <xf numFmtId="0" fontId="0" fillId="0" borderId="30" xfId="0" applyNumberFormat="1" applyFont="1" applyBorder="1" applyAlignment="1">
      <alignment/>
    </xf>
    <xf numFmtId="0" fontId="6" fillId="0" borderId="23" xfId="0" applyNumberFormat="1" applyFont="1" applyBorder="1" applyAlignment="1">
      <alignment/>
    </xf>
    <xf numFmtId="165" fontId="3" fillId="0" borderId="24" xfId="0" applyNumberFormat="1" applyFont="1" applyBorder="1" applyAlignment="1">
      <alignment/>
    </xf>
    <xf numFmtId="0" fontId="0" fillId="0" borderId="25" xfId="0" applyNumberFormat="1" applyFont="1" applyBorder="1" applyAlignment="1">
      <alignment/>
    </xf>
    <xf numFmtId="17" fontId="0" fillId="34" borderId="37" xfId="0" applyNumberFormat="1" applyFill="1" applyBorder="1" applyAlignment="1">
      <alignment horizontal="right"/>
    </xf>
    <xf numFmtId="0" fontId="0" fillId="34" borderId="0" xfId="0" applyNumberFormat="1" applyFill="1" applyAlignment="1">
      <alignment/>
    </xf>
    <xf numFmtId="17" fontId="0" fillId="34" borderId="0" xfId="0" applyNumberFormat="1" applyFont="1" applyFill="1" applyBorder="1" applyAlignment="1">
      <alignment horizontal="left" vertical="center"/>
    </xf>
    <xf numFmtId="2" fontId="0" fillId="34" borderId="0" xfId="0" applyNumberFormat="1" applyFont="1" applyFill="1" applyAlignment="1">
      <alignment/>
    </xf>
    <xf numFmtId="49" fontId="3" fillId="0" borderId="0" xfId="0" applyNumberFormat="1" applyFont="1" applyBorder="1" applyAlignment="1">
      <alignment horizontal="center"/>
    </xf>
    <xf numFmtId="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165" fontId="0" fillId="33" borderId="0" xfId="53" applyFont="1" applyFill="1" applyBorder="1" applyAlignment="1">
      <alignment horizontal="right" vertical="center"/>
    </xf>
    <xf numFmtId="4" fontId="2" fillId="0" borderId="0" xfId="0" applyFont="1" applyBorder="1" applyAlignment="1">
      <alignment horizontal="center" vertical="center"/>
    </xf>
    <xf numFmtId="165" fontId="0" fillId="34" borderId="33" xfId="53" applyFont="1" applyFill="1" applyBorder="1" applyAlignment="1">
      <alignment horizontal="right" vertical="center"/>
    </xf>
    <xf numFmtId="49" fontId="3" fillId="33" borderId="0" xfId="0" applyNumberFormat="1" applyFont="1" applyFill="1" applyBorder="1" applyAlignment="1">
      <alignment horizontal="center"/>
    </xf>
    <xf numFmtId="43" fontId="6" fillId="0" borderId="0" xfId="0" applyNumberFormat="1" applyFont="1" applyAlignment="1">
      <alignment/>
    </xf>
    <xf numFmtId="4" fontId="69" fillId="34" borderId="0" xfId="0" applyNumberFormat="1" applyFont="1" applyFill="1" applyBorder="1" applyAlignment="1">
      <alignment horizontal="left"/>
    </xf>
    <xf numFmtId="4" fontId="69" fillId="34" borderId="0" xfId="0" applyNumberFormat="1" applyFont="1" applyFill="1" applyBorder="1" applyAlignment="1">
      <alignment horizontal="left" vertical="center"/>
    </xf>
    <xf numFmtId="4" fontId="2" fillId="0" borderId="0" xfId="0" applyNumberFormat="1" applyFont="1" applyFill="1" applyBorder="1" applyAlignment="1">
      <alignment horizontal="right" vertical="center"/>
    </xf>
    <xf numFmtId="171" fontId="22" fillId="0" borderId="0" xfId="44" applyNumberFormat="1" applyFont="1" applyFill="1" applyBorder="1" applyAlignment="1" applyProtection="1">
      <alignment horizontal="right" vertical="center"/>
      <protection/>
    </xf>
    <xf numFmtId="49" fontId="0" fillId="0" borderId="47" xfId="53" applyNumberFormat="1" applyFont="1" applyFill="1" applyBorder="1" applyAlignment="1">
      <alignment horizontal="center" vertical="center"/>
    </xf>
    <xf numFmtId="43" fontId="3" fillId="0" borderId="0" xfId="0" applyNumberFormat="1" applyFont="1" applyBorder="1" applyAlignment="1">
      <alignment/>
    </xf>
    <xf numFmtId="49" fontId="3" fillId="0" borderId="13" xfId="0" applyNumberFormat="1" applyFont="1" applyBorder="1" applyAlignment="1">
      <alignment horizontal="center"/>
    </xf>
    <xf numFmtId="49" fontId="3" fillId="0" borderId="73" xfId="0" applyNumberFormat="1" applyFont="1" applyBorder="1" applyAlignment="1">
      <alignment horizontal="center"/>
    </xf>
    <xf numFmtId="49" fontId="3" fillId="0" borderId="74" xfId="0" applyNumberFormat="1" applyFont="1" applyBorder="1" applyAlignment="1">
      <alignment horizontal="center"/>
    </xf>
    <xf numFmtId="0" fontId="0" fillId="0" borderId="75" xfId="0" applyNumberFormat="1" applyFill="1" applyBorder="1" applyAlignment="1">
      <alignment horizontal="center"/>
    </xf>
    <xf numFmtId="0" fontId="0" fillId="0" borderId="76" xfId="0" applyNumberFormat="1" applyFill="1" applyBorder="1" applyAlignment="1">
      <alignment horizontal="center"/>
    </xf>
    <xf numFmtId="0" fontId="0" fillId="0" borderId="61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/>
    </xf>
    <xf numFmtId="171" fontId="3" fillId="0" borderId="13" xfId="0" applyNumberFormat="1" applyFont="1" applyFill="1" applyBorder="1" applyAlignment="1" quotePrefix="1">
      <alignment horizontal="center" vertical="center"/>
    </xf>
    <xf numFmtId="171" fontId="3" fillId="0" borderId="73" xfId="0" applyNumberFormat="1" applyFont="1" applyFill="1" applyBorder="1" applyAlignment="1" quotePrefix="1">
      <alignment horizontal="center" vertical="center"/>
    </xf>
    <xf numFmtId="171" fontId="3" fillId="0" borderId="74" xfId="0" applyNumberFormat="1" applyFont="1" applyFill="1" applyBorder="1" applyAlignment="1" quotePrefix="1">
      <alignment horizontal="center" vertical="center"/>
    </xf>
    <xf numFmtId="4" fontId="3" fillId="0" borderId="13" xfId="0" applyNumberFormat="1" applyFont="1" applyFill="1" applyBorder="1" applyAlignment="1" quotePrefix="1">
      <alignment horizontal="center" vertical="center"/>
    </xf>
    <xf numFmtId="4" fontId="3" fillId="0" borderId="73" xfId="0" applyNumberFormat="1" applyFont="1" applyFill="1" applyBorder="1" applyAlignment="1" quotePrefix="1">
      <alignment horizontal="center" vertical="center"/>
    </xf>
    <xf numFmtId="4" fontId="3" fillId="0" borderId="74" xfId="0" applyNumberFormat="1" applyFont="1" applyFill="1" applyBorder="1" applyAlignment="1" quotePrefix="1">
      <alignment horizontal="center" vertical="center"/>
    </xf>
    <xf numFmtId="0" fontId="7" fillId="0" borderId="0" xfId="0" applyNumberFormat="1" applyFont="1" applyFill="1" applyAlignment="1">
      <alignment horizontal="center"/>
    </xf>
    <xf numFmtId="0" fontId="4" fillId="0" borderId="0" xfId="0" applyNumberFormat="1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_Atualização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entenca.com.br/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entenca.com.br/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1">
      <selection activeCell="F26" sqref="F26"/>
    </sheetView>
  </sheetViews>
  <sheetFormatPr defaultColWidth="9.33203125" defaultRowHeight="10.5"/>
  <cols>
    <col min="1" max="1" width="8" style="214" customWidth="1"/>
    <col min="2" max="12" width="9.33203125" style="214" customWidth="1"/>
    <col min="13" max="16384" width="9.33203125" style="3" customWidth="1"/>
  </cols>
  <sheetData>
    <row r="1" spans="1:12" ht="21">
      <c r="A1" s="199" t="s">
        <v>125</v>
      </c>
      <c r="B1" s="200"/>
      <c r="C1" s="200"/>
      <c r="D1" s="200"/>
      <c r="E1" s="200"/>
      <c r="F1" s="200"/>
      <c r="G1" s="200"/>
      <c r="H1" s="201"/>
      <c r="I1" s="201"/>
      <c r="J1" s="202"/>
      <c r="K1" s="202"/>
      <c r="L1" s="203"/>
    </row>
    <row r="2" spans="1:12" ht="4.5" customHeight="1">
      <c r="A2" s="204"/>
      <c r="B2" s="205"/>
      <c r="C2" s="205"/>
      <c r="D2" s="205"/>
      <c r="E2" s="205"/>
      <c r="F2" s="205"/>
      <c r="G2" s="205"/>
      <c r="H2" s="205"/>
      <c r="I2" s="205"/>
      <c r="J2" s="206"/>
      <c r="K2" s="206"/>
      <c r="L2" s="207"/>
    </row>
    <row r="3" spans="1:12" ht="15.75">
      <c r="A3" s="208" t="s">
        <v>126</v>
      </c>
      <c r="B3" s="209"/>
      <c r="C3" s="209"/>
      <c r="D3" s="209"/>
      <c r="E3" s="209"/>
      <c r="F3" s="209"/>
      <c r="G3" s="209"/>
      <c r="H3" s="209"/>
      <c r="I3" s="209"/>
      <c r="J3" s="206"/>
      <c r="K3" s="206"/>
      <c r="L3" s="207"/>
    </row>
    <row r="4" spans="1:12" ht="15.75">
      <c r="A4" s="208" t="s">
        <v>434</v>
      </c>
      <c r="B4" s="209"/>
      <c r="C4" s="209"/>
      <c r="D4" s="209"/>
      <c r="E4" s="209"/>
      <c r="F4" s="209"/>
      <c r="G4" s="209"/>
      <c r="H4" s="209"/>
      <c r="I4" s="209"/>
      <c r="J4" s="206"/>
      <c r="K4" s="206"/>
      <c r="L4" s="207"/>
    </row>
    <row r="5" spans="1:12" ht="18.75">
      <c r="A5" s="210" t="s">
        <v>435</v>
      </c>
      <c r="B5" s="211"/>
      <c r="C5" s="211"/>
      <c r="D5" s="211"/>
      <c r="E5" s="211"/>
      <c r="F5" s="211"/>
      <c r="G5" s="211"/>
      <c r="H5" s="211"/>
      <c r="I5" s="211"/>
      <c r="J5" s="212"/>
      <c r="K5" s="212"/>
      <c r="L5" s="213"/>
    </row>
    <row r="7" spans="1:12" ht="12.75">
      <c r="A7" s="215"/>
      <c r="B7" s="215">
        <v>1972</v>
      </c>
      <c r="C7" s="215">
        <v>1973</v>
      </c>
      <c r="D7" s="215">
        <v>1974</v>
      </c>
      <c r="E7" s="215">
        <v>1975</v>
      </c>
      <c r="F7" s="215">
        <v>1976</v>
      </c>
      <c r="G7" s="215">
        <v>1977</v>
      </c>
      <c r="H7" s="215">
        <v>1978</v>
      </c>
      <c r="I7" s="215">
        <v>1979</v>
      </c>
      <c r="J7" s="215">
        <v>1980</v>
      </c>
      <c r="K7" s="215">
        <v>1981</v>
      </c>
      <c r="L7" s="215">
        <v>1982</v>
      </c>
    </row>
    <row r="8" spans="1:12" ht="15.75">
      <c r="A8" s="216" t="s">
        <v>127</v>
      </c>
      <c r="B8" s="217">
        <v>0.338987392</v>
      </c>
      <c r="C8" s="217">
        <v>0.294290634</v>
      </c>
      <c r="D8" s="217">
        <v>0.258687317</v>
      </c>
      <c r="E8" s="217">
        <v>0.195309059</v>
      </c>
      <c r="F8" s="217">
        <v>0.156348778</v>
      </c>
      <c r="G8" s="217">
        <v>0.113503094</v>
      </c>
      <c r="H8" s="217">
        <v>0.087472999</v>
      </c>
      <c r="I8" s="217">
        <v>0.063788424</v>
      </c>
      <c r="J8" s="217">
        <v>0.042730504</v>
      </c>
      <c r="K8" s="217">
        <v>0.028226789</v>
      </c>
      <c r="L8" s="217">
        <v>0.014337123</v>
      </c>
    </row>
    <row r="9" spans="1:12" ht="15.75">
      <c r="A9" s="216" t="s">
        <v>128</v>
      </c>
      <c r="B9" s="217">
        <v>0.338987392</v>
      </c>
      <c r="C9" s="217">
        <v>0.294290634</v>
      </c>
      <c r="D9" s="217">
        <v>0.258687317</v>
      </c>
      <c r="E9" s="217">
        <v>0.195309059</v>
      </c>
      <c r="F9" s="217">
        <v>0.156348778</v>
      </c>
      <c r="G9" s="217">
        <v>0.113503094</v>
      </c>
      <c r="H9" s="217">
        <v>0.087472999</v>
      </c>
      <c r="I9" s="217">
        <v>0.063788424</v>
      </c>
      <c r="J9" s="217">
        <v>0.042730504</v>
      </c>
      <c r="K9" s="217">
        <v>0.028226789</v>
      </c>
      <c r="L9" s="217">
        <v>0.014337123</v>
      </c>
    </row>
    <row r="10" spans="1:12" ht="15.75">
      <c r="A10" s="216" t="s">
        <v>129</v>
      </c>
      <c r="B10" s="217">
        <v>0.338987392</v>
      </c>
      <c r="C10" s="217">
        <v>0.294290634</v>
      </c>
      <c r="D10" s="217">
        <v>0.258687317</v>
      </c>
      <c r="E10" s="217">
        <v>0.195309059</v>
      </c>
      <c r="F10" s="217">
        <v>0.156348778</v>
      </c>
      <c r="G10" s="217">
        <v>0.113503094</v>
      </c>
      <c r="H10" s="217">
        <v>0.087472999</v>
      </c>
      <c r="I10" s="217">
        <v>0.063788424</v>
      </c>
      <c r="J10" s="217">
        <v>0.042730504</v>
      </c>
      <c r="K10" s="217">
        <v>0.028226789</v>
      </c>
      <c r="L10" s="217">
        <v>0.014337123</v>
      </c>
    </row>
    <row r="11" spans="1:12" ht="15.75">
      <c r="A11" s="216" t="s">
        <v>130</v>
      </c>
      <c r="B11" s="217">
        <v>0.326845148</v>
      </c>
      <c r="C11" s="217">
        <v>0.284958252</v>
      </c>
      <c r="D11" s="217">
        <v>0.249077704</v>
      </c>
      <c r="E11" s="217">
        <v>0.185751247</v>
      </c>
      <c r="F11" s="217">
        <v>0.146554484</v>
      </c>
      <c r="G11" s="217">
        <v>0.106988718</v>
      </c>
      <c r="H11" s="217">
        <v>0.081617354</v>
      </c>
      <c r="I11" s="217">
        <v>0.05947736</v>
      </c>
      <c r="J11" s="217">
        <v>0.038134037</v>
      </c>
      <c r="K11" s="217">
        <v>0.023745937</v>
      </c>
      <c r="L11" s="217">
        <v>0.012384945</v>
      </c>
    </row>
    <row r="12" spans="1:12" ht="15.75">
      <c r="A12" s="216" t="s">
        <v>131</v>
      </c>
      <c r="B12" s="217">
        <v>0.326845148</v>
      </c>
      <c r="C12" s="217">
        <v>0.284958252</v>
      </c>
      <c r="D12" s="217">
        <v>0.249077704</v>
      </c>
      <c r="E12" s="217">
        <v>0.185751247</v>
      </c>
      <c r="F12" s="217">
        <v>0.146554484</v>
      </c>
      <c r="G12" s="217">
        <v>0.106988718</v>
      </c>
      <c r="H12" s="217">
        <v>0.081617354</v>
      </c>
      <c r="I12" s="217">
        <v>0.05947736</v>
      </c>
      <c r="J12" s="217">
        <v>0.038134037</v>
      </c>
      <c r="K12" s="217">
        <v>0.023745937</v>
      </c>
      <c r="L12" s="217">
        <v>0.012384945</v>
      </c>
    </row>
    <row r="13" spans="1:12" ht="15.75">
      <c r="A13" s="216" t="s">
        <v>132</v>
      </c>
      <c r="B13" s="217">
        <v>0.326845148</v>
      </c>
      <c r="C13" s="217">
        <v>0.284958252</v>
      </c>
      <c r="D13" s="217">
        <v>0.249077704</v>
      </c>
      <c r="E13" s="217">
        <v>0.185751247</v>
      </c>
      <c r="F13" s="217">
        <v>0.146554484</v>
      </c>
      <c r="G13" s="217">
        <v>0.106988718</v>
      </c>
      <c r="H13" s="217">
        <v>0.081617354</v>
      </c>
      <c r="I13" s="217">
        <v>0.05947736</v>
      </c>
      <c r="J13" s="217">
        <v>0.038134037</v>
      </c>
      <c r="K13" s="217">
        <v>0.023745937</v>
      </c>
      <c r="L13" s="217">
        <v>0.012384945</v>
      </c>
    </row>
    <row r="14" spans="1:12" ht="15.75">
      <c r="A14" s="216" t="s">
        <v>133</v>
      </c>
      <c r="B14" s="217">
        <v>0.311616638</v>
      </c>
      <c r="C14" s="217">
        <v>0.275131574</v>
      </c>
      <c r="D14" s="217">
        <v>0.232215089</v>
      </c>
      <c r="E14" s="217">
        <v>0.174798515</v>
      </c>
      <c r="F14" s="217">
        <v>0.134837681</v>
      </c>
      <c r="G14" s="217">
        <v>0.097502723</v>
      </c>
      <c r="H14" s="217">
        <v>0.074705978</v>
      </c>
      <c r="I14" s="217">
        <v>0.053438729</v>
      </c>
      <c r="J14" s="217">
        <v>0.034461469</v>
      </c>
      <c r="K14" s="217">
        <v>0.019937547</v>
      </c>
      <c r="L14" s="217">
        <v>0.010547189</v>
      </c>
    </row>
    <row r="15" spans="1:12" ht="15.75">
      <c r="A15" s="216" t="s">
        <v>134</v>
      </c>
      <c r="B15" s="217">
        <v>0.311616638</v>
      </c>
      <c r="C15" s="217">
        <v>0.275131574</v>
      </c>
      <c r="D15" s="217">
        <v>0.232215089</v>
      </c>
      <c r="E15" s="217">
        <v>0.174798515</v>
      </c>
      <c r="F15" s="217">
        <v>0.134837681</v>
      </c>
      <c r="G15" s="217">
        <v>0.097502723</v>
      </c>
      <c r="H15" s="217">
        <v>0.074705978</v>
      </c>
      <c r="I15" s="217">
        <v>0.053438729</v>
      </c>
      <c r="J15" s="217">
        <v>0.034461469</v>
      </c>
      <c r="K15" s="217">
        <v>0.019937547</v>
      </c>
      <c r="L15" s="217">
        <v>0.010547189</v>
      </c>
    </row>
    <row r="16" spans="1:12" ht="15.75">
      <c r="A16" s="216" t="s">
        <v>135</v>
      </c>
      <c r="B16" s="217">
        <v>0.311616638</v>
      </c>
      <c r="C16" s="217">
        <v>0.275131574</v>
      </c>
      <c r="D16" s="217">
        <v>0.232215089</v>
      </c>
      <c r="E16" s="217">
        <v>0.174798515</v>
      </c>
      <c r="F16" s="217">
        <v>0.134837681</v>
      </c>
      <c r="G16" s="217">
        <v>0.097502723</v>
      </c>
      <c r="H16" s="217">
        <v>0.074705978</v>
      </c>
      <c r="I16" s="217">
        <v>0.053438729</v>
      </c>
      <c r="J16" s="217">
        <v>0.034461469</v>
      </c>
      <c r="K16" s="217">
        <v>0.019937547</v>
      </c>
      <c r="L16" s="217">
        <v>0.010547189</v>
      </c>
    </row>
    <row r="17" spans="1:12" ht="15.75">
      <c r="A17" s="216" t="s">
        <v>136</v>
      </c>
      <c r="B17" s="217">
        <v>0.302486264</v>
      </c>
      <c r="C17" s="217">
        <v>0.267808325</v>
      </c>
      <c r="D17" s="217">
        <v>0.204627919</v>
      </c>
      <c r="E17" s="217">
        <v>0.165853066</v>
      </c>
      <c r="F17" s="217">
        <v>0.123841574</v>
      </c>
      <c r="G17" s="217">
        <v>0.091774541</v>
      </c>
      <c r="H17" s="217">
        <v>0.068733256</v>
      </c>
      <c r="I17" s="217">
        <v>0.048613099</v>
      </c>
      <c r="J17" s="217">
        <v>0.031415008</v>
      </c>
      <c r="K17" s="217">
        <v>0.016819195</v>
      </c>
      <c r="L17" s="217">
        <v>0.008690872</v>
      </c>
    </row>
    <row r="18" spans="1:12" ht="15.75">
      <c r="A18" s="216" t="s">
        <v>137</v>
      </c>
      <c r="B18" s="217">
        <v>0.302486264</v>
      </c>
      <c r="C18" s="217">
        <v>0.267808325</v>
      </c>
      <c r="D18" s="217">
        <v>0.204627919</v>
      </c>
      <c r="E18" s="217">
        <v>0.165853066</v>
      </c>
      <c r="F18" s="217">
        <v>0.123841574</v>
      </c>
      <c r="G18" s="217">
        <v>0.091774541</v>
      </c>
      <c r="H18" s="217">
        <v>0.068733256</v>
      </c>
      <c r="I18" s="217">
        <v>0.048613099</v>
      </c>
      <c r="J18" s="217">
        <v>0.031415008</v>
      </c>
      <c r="K18" s="217">
        <v>0.016819195</v>
      </c>
      <c r="L18" s="217">
        <v>0.008690872</v>
      </c>
    </row>
    <row r="19" spans="1:12" ht="15.75">
      <c r="A19" s="216" t="s">
        <v>138</v>
      </c>
      <c r="B19" s="217">
        <v>0.302486264</v>
      </c>
      <c r="C19" s="217">
        <v>0.267808325</v>
      </c>
      <c r="D19" s="217">
        <v>0.204627919</v>
      </c>
      <c r="E19" s="217">
        <v>0.165853066</v>
      </c>
      <c r="F19" s="217">
        <v>0.123841574</v>
      </c>
      <c r="G19" s="217">
        <v>0.091774541</v>
      </c>
      <c r="H19" s="217">
        <v>0.068733256</v>
      </c>
      <c r="I19" s="217">
        <v>0.048613099</v>
      </c>
      <c r="J19" s="217">
        <v>0.031415008</v>
      </c>
      <c r="K19" s="217">
        <v>0.016819195</v>
      </c>
      <c r="L19" s="217">
        <v>0.008690872</v>
      </c>
    </row>
    <row r="20" spans="1:12" ht="12.75">
      <c r="A20" s="215"/>
      <c r="B20" s="215">
        <v>1983</v>
      </c>
      <c r="C20" s="215">
        <v>1984</v>
      </c>
      <c r="D20" s="215">
        <v>1985</v>
      </c>
      <c r="E20" s="215">
        <v>1986</v>
      </c>
      <c r="F20" s="215">
        <v>1987</v>
      </c>
      <c r="G20" s="215">
        <v>1988</v>
      </c>
      <c r="H20" s="215">
        <v>1989</v>
      </c>
      <c r="I20" s="215">
        <v>1990</v>
      </c>
      <c r="J20" s="215">
        <v>1991</v>
      </c>
      <c r="K20" s="215">
        <v>1992</v>
      </c>
      <c r="L20" s="215">
        <v>1993</v>
      </c>
    </row>
    <row r="21" spans="1:12" ht="15.75">
      <c r="A21" s="216" t="s">
        <v>127</v>
      </c>
      <c r="B21" s="217">
        <v>0.007161109</v>
      </c>
      <c r="C21" s="217">
        <v>0.00276246</v>
      </c>
      <c r="D21" s="217">
        <v>0.000853201</v>
      </c>
      <c r="E21" s="217">
        <v>0.000260407</v>
      </c>
      <c r="F21" s="217">
        <v>0.160397164</v>
      </c>
      <c r="G21" s="217">
        <v>0.034926332</v>
      </c>
      <c r="H21" s="217">
        <v>0.003379027</v>
      </c>
      <c r="I21" s="217">
        <v>0.189022938</v>
      </c>
      <c r="J21" s="217">
        <v>0.015035458</v>
      </c>
      <c r="K21" s="217">
        <v>0.002871818</v>
      </c>
      <c r="L21" s="217">
        <v>0.000228607</v>
      </c>
    </row>
    <row r="22" spans="1:12" ht="15.75">
      <c r="A22" s="216" t="s">
        <v>128</v>
      </c>
      <c r="B22" s="217">
        <v>0.007161109</v>
      </c>
      <c r="C22" s="217">
        <v>0.00276246</v>
      </c>
      <c r="D22" s="217">
        <v>0.000853201</v>
      </c>
      <c r="E22" s="217">
        <v>0.000224044</v>
      </c>
      <c r="F22" s="217">
        <v>0.137314582</v>
      </c>
      <c r="G22" s="217">
        <v>0.029977112</v>
      </c>
      <c r="H22" s="217">
        <v>2.7615457</v>
      </c>
      <c r="I22" s="217">
        <v>0.121083171</v>
      </c>
      <c r="J22" s="217">
        <v>0.012507264</v>
      </c>
      <c r="K22" s="217">
        <v>0.002288666</v>
      </c>
      <c r="L22" s="217">
        <v>0.000180347</v>
      </c>
    </row>
    <row r="23" spans="1:12" ht="15.75">
      <c r="A23" s="216" t="s">
        <v>129</v>
      </c>
      <c r="B23" s="217">
        <v>0.007161109</v>
      </c>
      <c r="C23" s="217">
        <v>0.00276246</v>
      </c>
      <c r="D23" s="217">
        <v>0.000853201</v>
      </c>
      <c r="E23" s="217">
        <v>0.19591127</v>
      </c>
      <c r="F23" s="217">
        <v>0.114792328</v>
      </c>
      <c r="G23" s="217">
        <v>0.025412946</v>
      </c>
      <c r="H23" s="217">
        <v>2.333371936</v>
      </c>
      <c r="I23" s="217">
        <v>0.070079391</v>
      </c>
      <c r="J23" s="217">
        <v>0.011689031</v>
      </c>
      <c r="K23" s="217">
        <v>0.001822041</v>
      </c>
      <c r="L23" s="217">
        <v>0.000142679</v>
      </c>
    </row>
    <row r="24" spans="1:12" ht="15.75">
      <c r="A24" s="216" t="s">
        <v>130</v>
      </c>
      <c r="B24" s="217">
        <v>0.005808762</v>
      </c>
      <c r="C24" s="217">
        <v>0.002036672</v>
      </c>
      <c r="D24" s="217">
        <v>0.000610109</v>
      </c>
      <c r="E24" s="217">
        <v>0.19612701</v>
      </c>
      <c r="F24" s="217">
        <v>0.100246553</v>
      </c>
      <c r="G24" s="217">
        <v>0.021905823</v>
      </c>
      <c r="H24" s="217">
        <v>1.947560268</v>
      </c>
      <c r="I24" s="217">
        <v>0.038020503</v>
      </c>
      <c r="J24" s="217">
        <v>0.010773301</v>
      </c>
      <c r="K24" s="217">
        <v>0.001466196</v>
      </c>
      <c r="L24" s="217">
        <v>0.000113408</v>
      </c>
    </row>
    <row r="25" spans="1:12" ht="15.75">
      <c r="A25" s="216" t="s">
        <v>131</v>
      </c>
      <c r="B25" s="217">
        <v>0.005808762</v>
      </c>
      <c r="C25" s="217">
        <v>0.002036672</v>
      </c>
      <c r="D25" s="217">
        <v>0.000610109</v>
      </c>
      <c r="E25" s="217">
        <v>0.19460906</v>
      </c>
      <c r="F25" s="217">
        <v>0.082875787</v>
      </c>
      <c r="G25" s="217">
        <v>0.018365043</v>
      </c>
      <c r="H25" s="217">
        <v>1.755191285</v>
      </c>
      <c r="I25" s="217">
        <v>0.038020503</v>
      </c>
      <c r="J25" s="217">
        <v>0.009890114</v>
      </c>
      <c r="K25" s="217">
        <v>0.001210931</v>
      </c>
      <c r="L25" s="217">
        <v>8.8448E-05</v>
      </c>
    </row>
    <row r="26" spans="1:12" ht="15.75">
      <c r="A26" s="216" t="s">
        <v>132</v>
      </c>
      <c r="B26" s="217">
        <v>0.005808762</v>
      </c>
      <c r="C26" s="217">
        <v>0.002036672</v>
      </c>
      <c r="D26" s="217">
        <v>0.000610109</v>
      </c>
      <c r="E26" s="217">
        <v>0.19192215</v>
      </c>
      <c r="F26" s="217">
        <v>0.067138518</v>
      </c>
      <c r="G26" s="217">
        <v>0.015592668</v>
      </c>
      <c r="H26" s="217">
        <v>1.596499265</v>
      </c>
      <c r="I26" s="217">
        <v>0.036079429</v>
      </c>
      <c r="J26" s="217">
        <v>0.009074331</v>
      </c>
      <c r="K26" s="217">
        <v>0.00101071</v>
      </c>
      <c r="L26" s="217">
        <v>6.8735E-05</v>
      </c>
    </row>
    <row r="27" spans="1:12" ht="15.75">
      <c r="A27" s="216" t="s">
        <v>133</v>
      </c>
      <c r="B27" s="217">
        <v>0.004577354</v>
      </c>
      <c r="C27" s="217">
        <v>0.001572689</v>
      </c>
      <c r="D27" s="217">
        <v>0.000454103</v>
      </c>
      <c r="E27" s="217">
        <v>0.189515305</v>
      </c>
      <c r="F27" s="217">
        <v>0.056887408</v>
      </c>
      <c r="G27" s="217">
        <v>0.013044982</v>
      </c>
      <c r="H27" s="217">
        <v>1.278938774</v>
      </c>
      <c r="I27" s="217">
        <v>0.032916183</v>
      </c>
      <c r="J27" s="217">
        <v>0.008294636</v>
      </c>
      <c r="K27" s="217">
        <v>0.000834952</v>
      </c>
      <c r="L27" s="217">
        <v>5.2841E-05</v>
      </c>
    </row>
    <row r="28" spans="1:12" ht="15.75">
      <c r="A28" s="216" t="s">
        <v>134</v>
      </c>
      <c r="B28" s="217">
        <v>0.004577354</v>
      </c>
      <c r="C28" s="217">
        <v>0.001572689</v>
      </c>
      <c r="D28" s="217">
        <v>0.000454103</v>
      </c>
      <c r="E28" s="217">
        <v>0.187286595</v>
      </c>
      <c r="F28" s="217">
        <v>0.055203695</v>
      </c>
      <c r="G28" s="217">
        <v>0.010516754</v>
      </c>
      <c r="H28" s="217">
        <v>0.993273358</v>
      </c>
      <c r="I28" s="217">
        <v>0.029710429</v>
      </c>
      <c r="J28" s="217">
        <v>0.007537152</v>
      </c>
      <c r="K28" s="217">
        <v>0.000675036</v>
      </c>
      <c r="L28" s="217">
        <v>0.0405313</v>
      </c>
    </row>
    <row r="29" spans="1:12" ht="15.75">
      <c r="A29" s="216" t="s">
        <v>135</v>
      </c>
      <c r="B29" s="217">
        <v>0.004577354</v>
      </c>
      <c r="C29" s="217">
        <v>0.001572689</v>
      </c>
      <c r="D29" s="217">
        <v>0.000454103</v>
      </c>
      <c r="E29" s="217">
        <v>0.184192166</v>
      </c>
      <c r="F29" s="217">
        <v>0.051902684</v>
      </c>
      <c r="G29" s="217">
        <v>0.008716024</v>
      </c>
      <c r="H29" s="217">
        <v>0.767955278</v>
      </c>
      <c r="I29" s="217">
        <v>0.026867814</v>
      </c>
      <c r="J29" s="217">
        <v>0.006732605</v>
      </c>
      <c r="K29" s="217">
        <v>0.00054783</v>
      </c>
      <c r="L29" s="217">
        <v>0.030396955</v>
      </c>
    </row>
    <row r="30" spans="1:12" ht="15.75">
      <c r="A30" s="216" t="s">
        <v>136</v>
      </c>
      <c r="B30" s="217">
        <v>0.003534632</v>
      </c>
      <c r="C30" s="217">
        <v>0.001166675</v>
      </c>
      <c r="D30" s="217">
        <v>0.000357545</v>
      </c>
      <c r="E30" s="217">
        <v>0.181077631</v>
      </c>
      <c r="F30" s="217">
        <v>0.049113063</v>
      </c>
      <c r="G30" s="217">
        <v>0.007028485</v>
      </c>
      <c r="H30" s="217">
        <v>0.564880674</v>
      </c>
      <c r="I30" s="217">
        <v>0.023808431</v>
      </c>
      <c r="J30" s="217">
        <v>0.005765204</v>
      </c>
      <c r="K30" s="217">
        <v>0.000436936</v>
      </c>
      <c r="L30" s="217">
        <v>0.022579821</v>
      </c>
    </row>
    <row r="31" spans="1:12" ht="15.75">
      <c r="A31" s="216" t="s">
        <v>137</v>
      </c>
      <c r="B31" s="217">
        <v>0.003534632</v>
      </c>
      <c r="C31" s="217">
        <v>0.001166675</v>
      </c>
      <c r="D31" s="217">
        <v>0.000357545</v>
      </c>
      <c r="E31" s="217">
        <v>0.177718746</v>
      </c>
      <c r="F31" s="217">
        <v>0.044983571</v>
      </c>
      <c r="G31" s="217">
        <v>0.005523368</v>
      </c>
      <c r="H31" s="217">
        <v>0.410464084</v>
      </c>
      <c r="I31" s="217">
        <v>0.020937852</v>
      </c>
      <c r="J31" s="217">
        <v>0.004813563</v>
      </c>
      <c r="K31" s="217">
        <v>0.000349353</v>
      </c>
      <c r="L31" s="217">
        <v>0.016538359</v>
      </c>
    </row>
    <row r="32" spans="1:12" ht="15.75">
      <c r="A32" s="216" t="s">
        <v>138</v>
      </c>
      <c r="B32" s="217">
        <v>0.003534632</v>
      </c>
      <c r="C32" s="217">
        <v>0.001166675</v>
      </c>
      <c r="D32" s="217">
        <v>0.000357545</v>
      </c>
      <c r="E32" s="217">
        <v>0.172058037</v>
      </c>
      <c r="F32" s="217">
        <v>0.039864916</v>
      </c>
      <c r="G32" s="217">
        <v>0.004351849</v>
      </c>
      <c r="H32" s="217">
        <v>0.290244722</v>
      </c>
      <c r="I32" s="217">
        <v>0.017950833</v>
      </c>
      <c r="J32" s="217">
        <v>0.003687989</v>
      </c>
      <c r="K32" s="217">
        <v>0.000283359</v>
      </c>
      <c r="L32" s="217">
        <v>0.012146268</v>
      </c>
    </row>
    <row r="33" spans="1:12" ht="12.75">
      <c r="A33" s="215"/>
      <c r="B33" s="215">
        <v>1994</v>
      </c>
      <c r="C33" s="215">
        <v>1995</v>
      </c>
      <c r="D33" s="215">
        <v>1996</v>
      </c>
      <c r="E33" s="215">
        <v>1997</v>
      </c>
      <c r="F33" s="215">
        <v>1998</v>
      </c>
      <c r="G33" s="215">
        <v>1999</v>
      </c>
      <c r="H33" s="215">
        <v>2000</v>
      </c>
      <c r="I33" s="215">
        <v>2001</v>
      </c>
      <c r="J33" s="215">
        <v>2002</v>
      </c>
      <c r="K33" s="215">
        <v>2003</v>
      </c>
      <c r="L33" s="215">
        <v>2004</v>
      </c>
    </row>
    <row r="34" spans="1:12" ht="15.75">
      <c r="A34" s="216" t="s">
        <v>127</v>
      </c>
      <c r="B34" s="217">
        <v>0.008878851</v>
      </c>
      <c r="C34" s="217">
        <v>2.322936695</v>
      </c>
      <c r="D34" s="217">
        <v>1.76484589</v>
      </c>
      <c r="E34" s="217">
        <v>1.61047993</v>
      </c>
      <c r="F34" s="217">
        <v>1.466940017</v>
      </c>
      <c r="G34" s="217">
        <v>1.360875325</v>
      </c>
      <c r="H34" s="217">
        <v>1.287128454</v>
      </c>
      <c r="I34" s="217">
        <v>1.260700272</v>
      </c>
      <c r="J34" s="217">
        <v>1.232533725</v>
      </c>
      <c r="K34" s="217">
        <v>1.198933139</v>
      </c>
      <c r="L34" s="217">
        <v>1.145674897</v>
      </c>
    </row>
    <row r="35" spans="1:12" ht="15.75">
      <c r="A35" s="216" t="s">
        <v>128</v>
      </c>
      <c r="B35" s="217">
        <v>0.006277468</v>
      </c>
      <c r="C35" s="217">
        <v>2.275129401</v>
      </c>
      <c r="D35" s="217">
        <v>1.74301291</v>
      </c>
      <c r="E35" s="217">
        <v>1.598586447</v>
      </c>
      <c r="F35" s="217">
        <v>1.450320791</v>
      </c>
      <c r="G35" s="217">
        <v>1.353885216</v>
      </c>
      <c r="H35" s="217">
        <v>1.284368346</v>
      </c>
      <c r="I35" s="217">
        <v>1.258976733</v>
      </c>
      <c r="J35" s="217">
        <v>1.229348483</v>
      </c>
      <c r="K35" s="217">
        <v>1.193113133</v>
      </c>
      <c r="L35" s="217">
        <v>1.144210308</v>
      </c>
    </row>
    <row r="36" spans="1:12" ht="15.75">
      <c r="A36" s="216" t="s">
        <v>129</v>
      </c>
      <c r="B36" s="217">
        <v>0.004488394</v>
      </c>
      <c r="C36" s="217">
        <v>2.233736038</v>
      </c>
      <c r="D36" s="217">
        <v>1.726396346</v>
      </c>
      <c r="E36" s="217">
        <v>1.588079679</v>
      </c>
      <c r="F36" s="217">
        <v>1.443879644</v>
      </c>
      <c r="G36" s="217">
        <v>1.342743133</v>
      </c>
      <c r="H36" s="217">
        <v>1.281385281</v>
      </c>
      <c r="I36" s="217">
        <v>1.2585136</v>
      </c>
      <c r="J36" s="217">
        <v>1.2279106</v>
      </c>
      <c r="K36" s="217">
        <v>1.18822241</v>
      </c>
      <c r="L36" s="217">
        <v>1.143686499</v>
      </c>
    </row>
    <row r="37" spans="1:12" ht="15.75">
      <c r="A37" s="216" t="s">
        <v>130</v>
      </c>
      <c r="B37" s="217">
        <v>0.003164183</v>
      </c>
      <c r="C37" s="217">
        <v>2.183519458</v>
      </c>
      <c r="D37" s="217">
        <v>1.712458645</v>
      </c>
      <c r="E37" s="217">
        <v>1.578112354</v>
      </c>
      <c r="F37" s="217">
        <v>1.431007729</v>
      </c>
      <c r="G37" s="217">
        <v>1.327327551</v>
      </c>
      <c r="H37" s="217">
        <v>1.278518842</v>
      </c>
      <c r="I37" s="217">
        <v>1.256347657</v>
      </c>
      <c r="J37" s="217">
        <v>1.225755721</v>
      </c>
      <c r="K37" s="217">
        <v>1.183745484</v>
      </c>
      <c r="L37" s="217">
        <v>1.141656634</v>
      </c>
    </row>
    <row r="38" spans="1:12" ht="15.75">
      <c r="A38" s="216" t="s">
        <v>131</v>
      </c>
      <c r="B38" s="217">
        <v>0.002167694</v>
      </c>
      <c r="C38" s="217">
        <v>2.110359621</v>
      </c>
      <c r="D38" s="217">
        <v>1.701235593</v>
      </c>
      <c r="E38" s="217">
        <v>1.568371201</v>
      </c>
      <c r="F38" s="217">
        <v>1.424285104</v>
      </c>
      <c r="G38" s="217">
        <v>1.319290434</v>
      </c>
      <c r="H38" s="217">
        <v>1.27685765</v>
      </c>
      <c r="I38" s="217">
        <v>1.254408341</v>
      </c>
      <c r="J38" s="217">
        <v>1.222873409</v>
      </c>
      <c r="K38" s="217">
        <v>1.178813329</v>
      </c>
      <c r="L38" s="217">
        <v>1.140659697</v>
      </c>
    </row>
    <row r="39" spans="1:12" ht="15.75">
      <c r="A39" s="216" t="s">
        <v>132</v>
      </c>
      <c r="B39" s="217">
        <v>0.001480261</v>
      </c>
      <c r="C39" s="217">
        <v>2.043989246</v>
      </c>
      <c r="D39" s="217">
        <v>1.691277352</v>
      </c>
      <c r="E39" s="217">
        <v>1.558468691</v>
      </c>
      <c r="F39" s="217">
        <v>1.417843839</v>
      </c>
      <c r="G39" s="217">
        <v>1.311733537</v>
      </c>
      <c r="H39" s="217">
        <v>1.273683631</v>
      </c>
      <c r="I39" s="217">
        <v>1.252120717</v>
      </c>
      <c r="J39" s="217">
        <v>1.22030832</v>
      </c>
      <c r="K39" s="217">
        <v>1.173357218</v>
      </c>
      <c r="L39" s="217">
        <v>1.138898959</v>
      </c>
    </row>
    <row r="40" spans="1:12" ht="15.75">
      <c r="A40" s="216" t="s">
        <v>133</v>
      </c>
      <c r="B40" s="217">
        <v>2.771546083</v>
      </c>
      <c r="C40" s="217">
        <v>1.986648607</v>
      </c>
      <c r="D40" s="217">
        <v>1.681024782</v>
      </c>
      <c r="E40" s="217">
        <v>1.548350222</v>
      </c>
      <c r="F40" s="217">
        <v>1.410912028</v>
      </c>
      <c r="G40" s="217">
        <v>1.307669301</v>
      </c>
      <c r="H40" s="217">
        <v>1.270963768</v>
      </c>
      <c r="I40" s="217">
        <v>1.250297783</v>
      </c>
      <c r="J40" s="217">
        <v>1.218380842</v>
      </c>
      <c r="K40" s="217">
        <v>1.168489292</v>
      </c>
      <c r="L40" s="217">
        <v>1.136896884</v>
      </c>
    </row>
    <row r="41" spans="1:12" ht="15.75">
      <c r="A41" s="216" t="s">
        <v>134</v>
      </c>
      <c r="B41" s="217">
        <v>2.638910434</v>
      </c>
      <c r="C41" s="217">
        <v>1.928962969</v>
      </c>
      <c r="D41" s="217">
        <v>1.67124632</v>
      </c>
      <c r="E41" s="217">
        <v>1.538228677</v>
      </c>
      <c r="F41" s="217">
        <v>1.403190272</v>
      </c>
      <c r="G41" s="217">
        <v>1.303845123</v>
      </c>
      <c r="H41" s="217">
        <v>1.269000624</v>
      </c>
      <c r="I41" s="217">
        <v>1.247253238</v>
      </c>
      <c r="J41" s="217">
        <v>1.215153395</v>
      </c>
      <c r="K41" s="217">
        <v>1.162138206</v>
      </c>
      <c r="L41" s="217">
        <v>1.134681985</v>
      </c>
    </row>
    <row r="42" spans="1:12" ht="15.75">
      <c r="A42" s="216" t="s">
        <v>135</v>
      </c>
      <c r="B42" s="217">
        <v>2.58384356</v>
      </c>
      <c r="C42" s="217">
        <v>1.879998411</v>
      </c>
      <c r="D42" s="217">
        <v>1.660824645</v>
      </c>
      <c r="E42" s="217">
        <v>1.528644079</v>
      </c>
      <c r="F42" s="217">
        <v>1.39794936</v>
      </c>
      <c r="G42" s="217">
        <v>1.300016574</v>
      </c>
      <c r="H42" s="217">
        <v>1.266436091</v>
      </c>
      <c r="I42" s="217">
        <v>1.24298235</v>
      </c>
      <c r="J42" s="217">
        <v>1.21214606</v>
      </c>
      <c r="K42" s="217">
        <v>1.157464365</v>
      </c>
      <c r="L42" s="217">
        <v>1.1324115</v>
      </c>
    </row>
    <row r="43" spans="1:12" ht="15.75">
      <c r="A43" s="216" t="s">
        <v>136</v>
      </c>
      <c r="B43" s="217">
        <v>2.522321613</v>
      </c>
      <c r="C43" s="217">
        <v>1.844233196</v>
      </c>
      <c r="D43" s="217">
        <v>1.649902292</v>
      </c>
      <c r="E43" s="217">
        <v>1.518811295</v>
      </c>
      <c r="F43" s="217">
        <v>1.391670144</v>
      </c>
      <c r="G43" s="217">
        <v>1.296496586</v>
      </c>
      <c r="H43" s="217">
        <v>1.265122894</v>
      </c>
      <c r="I43" s="217">
        <v>1.240963303</v>
      </c>
      <c r="J43" s="217">
        <v>1.209780938</v>
      </c>
      <c r="K43" s="217">
        <v>1.15358371</v>
      </c>
      <c r="L43" s="217">
        <v>1.130458068</v>
      </c>
    </row>
    <row r="44" spans="1:12" ht="15.75">
      <c r="A44" s="216" t="s">
        <v>137</v>
      </c>
      <c r="B44" s="217">
        <v>2.459479454</v>
      </c>
      <c r="C44" s="217">
        <v>1.8142259</v>
      </c>
      <c r="D44" s="217">
        <v>1.637751811</v>
      </c>
      <c r="E44" s="217">
        <v>1.50892332</v>
      </c>
      <c r="F44" s="217">
        <v>1.37940448</v>
      </c>
      <c r="G44" s="217">
        <v>1.293566657</v>
      </c>
      <c r="H44" s="217">
        <v>1.26346018</v>
      </c>
      <c r="I44" s="217">
        <v>1.237358877</v>
      </c>
      <c r="J44" s="217">
        <v>1.206441508</v>
      </c>
      <c r="K44" s="217">
        <v>1.149889116</v>
      </c>
      <c r="L44" s="217">
        <v>1.129206907</v>
      </c>
    </row>
    <row r="45" spans="1:12" ht="15.75">
      <c r="A45" s="216" t="s">
        <v>138</v>
      </c>
      <c r="B45" s="217">
        <v>2.389676989</v>
      </c>
      <c r="C45" s="217">
        <v>1.788494825</v>
      </c>
      <c r="D45" s="217">
        <v>1.624518484</v>
      </c>
      <c r="E45" s="217">
        <v>1.486134927</v>
      </c>
      <c r="F45" s="217">
        <v>1.370992072</v>
      </c>
      <c r="G45" s="217">
        <v>1.290987265</v>
      </c>
      <c r="H45" s="217">
        <v>1.261949626</v>
      </c>
      <c r="I45" s="217">
        <v>1.234977839</v>
      </c>
      <c r="J45" s="217">
        <v>1.203260089</v>
      </c>
      <c r="K45" s="217">
        <v>1.147850533</v>
      </c>
      <c r="L45" s="217">
        <v>1.127914317</v>
      </c>
    </row>
    <row r="46" spans="1:12" ht="12.75">
      <c r="A46" s="215"/>
      <c r="B46" s="215">
        <v>2005</v>
      </c>
      <c r="C46" s="215">
        <v>2006</v>
      </c>
      <c r="D46" s="215">
        <v>2007</v>
      </c>
      <c r="E46" s="215">
        <v>2008</v>
      </c>
      <c r="F46" s="215">
        <v>2009</v>
      </c>
      <c r="G46" s="215">
        <v>2010</v>
      </c>
      <c r="H46" s="215">
        <v>2011</v>
      </c>
      <c r="I46" s="215">
        <v>2012</v>
      </c>
      <c r="J46" s="215">
        <v>2013</v>
      </c>
      <c r="K46" s="215">
        <v>2014</v>
      </c>
      <c r="L46" s="215">
        <v>2015</v>
      </c>
    </row>
    <row r="47" spans="1:12" ht="15.75">
      <c r="A47" s="216" t="s">
        <v>127</v>
      </c>
      <c r="B47" s="217">
        <v>1.125213804</v>
      </c>
      <c r="C47" s="217">
        <v>1.094209104</v>
      </c>
      <c r="D47" s="217">
        <v>1.072357326</v>
      </c>
      <c r="E47" s="217">
        <v>1.057079244</v>
      </c>
      <c r="F47" s="217">
        <v>1.040075632</v>
      </c>
      <c r="G47" s="217">
        <v>1.03275335</v>
      </c>
      <c r="H47" s="217">
        <v>1.0256889</v>
      </c>
      <c r="I47" s="217">
        <v>1.013447392</v>
      </c>
      <c r="J47" s="217">
        <v>1.010519822</v>
      </c>
      <c r="K47" s="217">
        <v>1.008593176</v>
      </c>
      <c r="L47" s="217">
        <v>1</v>
      </c>
    </row>
    <row r="48" spans="1:12" ht="15.75">
      <c r="A48" s="216" t="s">
        <v>128</v>
      </c>
      <c r="B48" s="217">
        <v>1.123102372</v>
      </c>
      <c r="C48" s="217">
        <v>1.09166988</v>
      </c>
      <c r="D48" s="217">
        <v>1.070015063</v>
      </c>
      <c r="E48" s="217">
        <v>1.056012672</v>
      </c>
      <c r="F48" s="217">
        <v>1.038165407</v>
      </c>
      <c r="G48" s="217">
        <v>1.03275335</v>
      </c>
      <c r="H48" s="217">
        <v>1.024956056</v>
      </c>
      <c r="I48" s="217">
        <v>1.012572529</v>
      </c>
      <c r="J48" s="217">
        <v>1.010519822</v>
      </c>
      <c r="K48" s="217">
        <v>1.007458778</v>
      </c>
      <c r="L48" s="218"/>
    </row>
    <row r="49" spans="1:12" ht="15.75">
      <c r="A49" s="216" t="s">
        <v>129</v>
      </c>
      <c r="B49" s="217">
        <v>1.122022985</v>
      </c>
      <c r="C49" s="217">
        <v>1.090878993</v>
      </c>
      <c r="D49" s="217">
        <v>1.069244138</v>
      </c>
      <c r="E49" s="217">
        <v>1.055756123</v>
      </c>
      <c r="F49" s="217">
        <v>1.037697406</v>
      </c>
      <c r="G49" s="217">
        <v>1.03275335</v>
      </c>
      <c r="H49" s="217">
        <v>1.02441926</v>
      </c>
      <c r="I49" s="217">
        <v>1.012572529</v>
      </c>
      <c r="J49" s="217">
        <v>1.010519822</v>
      </c>
      <c r="K49" s="217">
        <v>1.006918063</v>
      </c>
      <c r="L49" s="218"/>
    </row>
    <row r="50" spans="1:12" ht="15.75">
      <c r="A50" s="216" t="s">
        <v>130</v>
      </c>
      <c r="B50" s="217">
        <v>1.119074225</v>
      </c>
      <c r="C50" s="217">
        <v>1.088622279</v>
      </c>
      <c r="D50" s="217">
        <v>1.067241992</v>
      </c>
      <c r="E50" s="217">
        <v>1.055324495</v>
      </c>
      <c r="F50" s="217">
        <v>1.03620734</v>
      </c>
      <c r="G50" s="217">
        <v>1.031936056</v>
      </c>
      <c r="H50" s="217">
        <v>1.023179167</v>
      </c>
      <c r="I50" s="217">
        <v>1.011492255</v>
      </c>
      <c r="J50" s="217">
        <v>1.010519822</v>
      </c>
      <c r="K50" s="217">
        <v>1.006650294</v>
      </c>
      <c r="L50" s="218"/>
    </row>
    <row r="51" spans="1:12" ht="15.75">
      <c r="A51" s="216" t="s">
        <v>131</v>
      </c>
      <c r="B51" s="217">
        <v>1.1168372</v>
      </c>
      <c r="C51" s="217">
        <v>1.087692302</v>
      </c>
      <c r="D51" s="217">
        <v>1.065886185</v>
      </c>
      <c r="E51" s="217">
        <v>1.054317622</v>
      </c>
      <c r="F51" s="217">
        <v>1.035737115</v>
      </c>
      <c r="G51" s="217">
        <v>1.031936056</v>
      </c>
      <c r="H51" s="217">
        <v>1.022801753</v>
      </c>
      <c r="I51" s="217">
        <v>1.011262699</v>
      </c>
      <c r="J51" s="217">
        <v>1.010519822</v>
      </c>
      <c r="K51" s="217">
        <v>1.006188453</v>
      </c>
      <c r="L51" s="218"/>
    </row>
    <row r="52" spans="1:12" ht="15.75">
      <c r="A52" s="216" t="s">
        <v>132</v>
      </c>
      <c r="B52" s="217">
        <v>1.114022066</v>
      </c>
      <c r="C52" s="217">
        <v>1.085642609</v>
      </c>
      <c r="D52" s="217">
        <v>1.064088939</v>
      </c>
      <c r="E52" s="217">
        <v>1.053542215</v>
      </c>
      <c r="F52" s="217">
        <v>1.035272278</v>
      </c>
      <c r="G52" s="217">
        <v>1.031410037</v>
      </c>
      <c r="H52" s="217">
        <v>1.021198472</v>
      </c>
      <c r="I52" s="217">
        <v>1.010789649</v>
      </c>
      <c r="J52" s="217">
        <v>1.010519822</v>
      </c>
      <c r="K52" s="217">
        <v>1.005581082</v>
      </c>
      <c r="L52" s="218"/>
    </row>
    <row r="53" spans="1:12" ht="15.75">
      <c r="A53" s="216" t="s">
        <v>133</v>
      </c>
      <c r="B53" s="217">
        <v>1.110697748</v>
      </c>
      <c r="C53" s="217">
        <v>1.083543784</v>
      </c>
      <c r="D53" s="217">
        <v>1.063074766</v>
      </c>
      <c r="E53" s="217">
        <v>1.052336237</v>
      </c>
      <c r="F53" s="217">
        <v>1.034593584</v>
      </c>
      <c r="G53" s="217">
        <v>1.030802894</v>
      </c>
      <c r="H53" s="217">
        <v>1.020062123</v>
      </c>
      <c r="I53" s="217">
        <v>1.010789649</v>
      </c>
      <c r="J53" s="217">
        <v>1.010519822</v>
      </c>
      <c r="K53" s="217">
        <v>1.005113705</v>
      </c>
      <c r="L53" s="218"/>
    </row>
    <row r="54" spans="1:12" ht="15.75">
      <c r="A54" s="216" t="s">
        <v>134</v>
      </c>
      <c r="B54" s="217">
        <v>1.107845047</v>
      </c>
      <c r="C54" s="217">
        <v>1.081649815</v>
      </c>
      <c r="D54" s="217">
        <v>1.061515399</v>
      </c>
      <c r="E54" s="217">
        <v>1.050325914</v>
      </c>
      <c r="F54" s="217">
        <v>1.033507368</v>
      </c>
      <c r="G54" s="217">
        <v>1.029617804</v>
      </c>
      <c r="H54" s="217">
        <v>1.018810005</v>
      </c>
      <c r="I54" s="217">
        <v>1.010644116</v>
      </c>
      <c r="J54" s="217">
        <v>1.010308668</v>
      </c>
      <c r="K54" s="217">
        <v>1.00405543</v>
      </c>
      <c r="L54" s="218"/>
    </row>
    <row r="55" spans="1:12" ht="15.75">
      <c r="A55" s="216" t="s">
        <v>135</v>
      </c>
      <c r="B55" s="217">
        <v>1.104018519</v>
      </c>
      <c r="C55" s="217">
        <v>1.079021319</v>
      </c>
      <c r="D55" s="217">
        <v>1.059961496</v>
      </c>
      <c r="E55" s="217">
        <v>1.048675299</v>
      </c>
      <c r="F55" s="217">
        <v>1.033303807</v>
      </c>
      <c r="G55" s="217">
        <v>1.028682732</v>
      </c>
      <c r="H55" s="217">
        <v>1.016699337</v>
      </c>
      <c r="I55" s="217">
        <v>1.010519822</v>
      </c>
      <c r="J55" s="217">
        <v>1.010308668</v>
      </c>
      <c r="K55" s="217">
        <v>1.003451352</v>
      </c>
      <c r="L55" s="218"/>
    </row>
    <row r="56" spans="1:12" ht="15.75">
      <c r="A56" s="216" t="s">
        <v>136</v>
      </c>
      <c r="B56" s="217">
        <v>1.101114879</v>
      </c>
      <c r="C56" s="217">
        <v>1.077382621</v>
      </c>
      <c r="D56" s="217">
        <v>1.059588521</v>
      </c>
      <c r="E56" s="217">
        <v>1.04661347</v>
      </c>
      <c r="F56" s="217">
        <v>1.033303807</v>
      </c>
      <c r="G56" s="217">
        <v>1.027961103</v>
      </c>
      <c r="H56" s="217">
        <v>1.01568061</v>
      </c>
      <c r="I56" s="217">
        <v>1.010519822</v>
      </c>
      <c r="J56" s="217">
        <v>1.01022886</v>
      </c>
      <c r="K56" s="217">
        <v>1.002576103</v>
      </c>
      <c r="L56" s="218"/>
    </row>
    <row r="57" spans="1:12" ht="15.75">
      <c r="A57" s="216" t="s">
        <v>137</v>
      </c>
      <c r="B57" s="217">
        <v>1.098807383</v>
      </c>
      <c r="C57" s="217">
        <v>1.075366309</v>
      </c>
      <c r="D57" s="217">
        <v>1.058379851</v>
      </c>
      <c r="E57" s="217">
        <v>1.043997213</v>
      </c>
      <c r="F57" s="217">
        <v>1.033303807</v>
      </c>
      <c r="G57" s="217">
        <v>1.027476134</v>
      </c>
      <c r="H57" s="217">
        <v>1.015051278</v>
      </c>
      <c r="I57" s="217">
        <v>1.010519822</v>
      </c>
      <c r="J57" s="217">
        <v>1.009300303</v>
      </c>
      <c r="K57" s="217">
        <v>1.001536509</v>
      </c>
      <c r="L57" s="218"/>
    </row>
    <row r="58" spans="1:12" ht="15.75">
      <c r="A58" s="216" t="s">
        <v>138</v>
      </c>
      <c r="B58" s="217">
        <v>1.096691865</v>
      </c>
      <c r="C58" s="217">
        <v>1.073989454</v>
      </c>
      <c r="D58" s="217">
        <v>1.057755775</v>
      </c>
      <c r="E58" s="217">
        <v>1.042310754</v>
      </c>
      <c r="F58" s="217">
        <v>1.033303807</v>
      </c>
      <c r="G58" s="217">
        <v>1.027131018</v>
      </c>
      <c r="H58" s="217">
        <v>1.014396992</v>
      </c>
      <c r="I58" s="217">
        <v>1.010519822</v>
      </c>
      <c r="J58" s="217">
        <v>1.009091422</v>
      </c>
      <c r="K58" s="217">
        <v>1.001053</v>
      </c>
      <c r="L58" s="218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63"/>
  <sheetViews>
    <sheetView zoomScalePageLayoutView="0" workbookViewId="0" topLeftCell="A1">
      <selection activeCell="B70" sqref="B70"/>
    </sheetView>
  </sheetViews>
  <sheetFormatPr defaultColWidth="13.33203125" defaultRowHeight="10.5"/>
  <cols>
    <col min="1" max="1" width="11.16015625" style="16" customWidth="1"/>
    <col min="2" max="2" width="14.16015625" style="16" customWidth="1"/>
    <col min="3" max="3" width="11" style="16" customWidth="1"/>
    <col min="4" max="4" width="14" style="16" customWidth="1"/>
    <col min="5" max="7" width="11.16015625" style="16" customWidth="1"/>
    <col min="8" max="8" width="12.33203125" style="16" customWidth="1"/>
    <col min="9" max="10" width="13" style="16" customWidth="1"/>
    <col min="11" max="11" width="11.66015625" style="16" customWidth="1"/>
    <col min="12" max="12" width="13" style="16" customWidth="1"/>
    <col min="13" max="13" width="13.33203125" style="16" customWidth="1"/>
    <col min="14" max="14" width="13.33203125" style="156" customWidth="1"/>
    <col min="15" max="16384" width="13.33203125" style="16" customWidth="1"/>
  </cols>
  <sheetData>
    <row r="1" spans="1:4" s="611" customFormat="1" ht="14.25" customHeight="1">
      <c r="A1" s="610" t="s">
        <v>469</v>
      </c>
      <c r="B1" s="610"/>
      <c r="C1" s="610"/>
      <c r="D1" s="610"/>
    </row>
    <row r="2" spans="1:4" s="107" customFormat="1" ht="10.5" customHeight="1">
      <c r="A2" s="132"/>
      <c r="B2" s="612"/>
      <c r="C2" s="132"/>
      <c r="D2" s="132"/>
    </row>
    <row r="3" spans="1:4" s="107" customFormat="1" ht="10.5" customHeight="1">
      <c r="A3" s="132"/>
      <c r="B3" s="612"/>
      <c r="C3" s="132"/>
      <c r="D3" s="132"/>
    </row>
    <row r="4" spans="1:14" s="52" customFormat="1" ht="10.5" customHeight="1">
      <c r="A4" s="52" t="s">
        <v>312</v>
      </c>
      <c r="N4" s="320"/>
    </row>
    <row r="5" s="52" customFormat="1" ht="10.5" customHeight="1">
      <c r="N5" s="320"/>
    </row>
    <row r="6" spans="1:4" s="176" customFormat="1" ht="11.25" customHeight="1">
      <c r="A6" s="175" t="s">
        <v>451</v>
      </c>
      <c r="B6" s="53"/>
      <c r="C6" s="288"/>
      <c r="D6" s="107"/>
    </row>
    <row r="7" spans="1:4" s="176" customFormat="1" ht="11.25" customHeight="1">
      <c r="A7" s="173" t="s">
        <v>453</v>
      </c>
      <c r="B7" s="16"/>
      <c r="C7" s="294"/>
      <c r="D7" s="107"/>
    </row>
    <row r="8" spans="1:4" s="176" customFormat="1" ht="11.25" customHeight="1">
      <c r="A8" s="173" t="s">
        <v>454</v>
      </c>
      <c r="B8" s="16"/>
      <c r="C8" s="294"/>
      <c r="D8" s="107"/>
    </row>
    <row r="9" spans="1:4" s="176" customFormat="1" ht="11.25" customHeight="1">
      <c r="A9" s="173" t="s">
        <v>452</v>
      </c>
      <c r="B9" s="16"/>
      <c r="C9" s="294"/>
      <c r="D9" s="107"/>
    </row>
    <row r="10" spans="1:4" s="176" customFormat="1" ht="11.25" customHeight="1">
      <c r="A10" s="175" t="s">
        <v>455</v>
      </c>
      <c r="B10" s="53"/>
      <c r="C10" s="288"/>
      <c r="D10" s="107"/>
    </row>
    <row r="11" spans="1:29" s="176" customFormat="1" ht="11.25" customHeight="1">
      <c r="A11" s="173" t="s">
        <v>460</v>
      </c>
      <c r="B11" s="16"/>
      <c r="C11" s="294"/>
      <c r="D11" s="107"/>
      <c r="X11" s="107"/>
      <c r="Y11" s="107"/>
      <c r="Z11" s="107"/>
      <c r="AA11" s="107"/>
      <c r="AB11" s="107"/>
      <c r="AC11" s="107"/>
    </row>
    <row r="12" ht="13.5" customHeight="1" thickBot="1"/>
    <row r="13" spans="1:12" ht="12" thickBot="1" thickTop="1">
      <c r="A13" s="55" t="s">
        <v>3</v>
      </c>
      <c r="B13" s="55" t="s">
        <v>4</v>
      </c>
      <c r="C13" s="55" t="s">
        <v>5</v>
      </c>
      <c r="D13" s="55" t="s">
        <v>6</v>
      </c>
      <c r="E13" s="55" t="s">
        <v>7</v>
      </c>
      <c r="F13" s="55" t="s">
        <v>8</v>
      </c>
      <c r="G13" s="55" t="s">
        <v>9</v>
      </c>
      <c r="H13" s="55" t="s">
        <v>10</v>
      </c>
      <c r="I13" s="55" t="s">
        <v>11</v>
      </c>
      <c r="J13" s="55" t="s">
        <v>80</v>
      </c>
      <c r="K13" s="55" t="s">
        <v>101</v>
      </c>
      <c r="L13" s="55" t="s">
        <v>109</v>
      </c>
    </row>
    <row r="14" ht="12" thickBot="1" thickTop="1">
      <c r="A14" s="65"/>
    </row>
    <row r="15" spans="1:12" ht="11.25" thickTop="1">
      <c r="A15" s="157" t="s">
        <v>1</v>
      </c>
      <c r="B15" s="328" t="s">
        <v>265</v>
      </c>
      <c r="C15" s="328" t="s">
        <v>200</v>
      </c>
      <c r="D15" s="15" t="s">
        <v>112</v>
      </c>
      <c r="E15" s="328" t="s">
        <v>67</v>
      </c>
      <c r="F15" s="328" t="s">
        <v>284</v>
      </c>
      <c r="G15" s="328" t="s">
        <v>281</v>
      </c>
      <c r="H15" s="15" t="s">
        <v>113</v>
      </c>
      <c r="I15" s="158" t="s">
        <v>15</v>
      </c>
      <c r="J15" s="15" t="s">
        <v>36</v>
      </c>
      <c r="K15" s="158" t="s">
        <v>12</v>
      </c>
      <c r="L15" s="159" t="s">
        <v>15</v>
      </c>
    </row>
    <row r="16" spans="1:12" ht="10.5">
      <c r="A16" s="160"/>
      <c r="B16" s="194" t="s">
        <v>197</v>
      </c>
      <c r="C16" s="194" t="s">
        <v>202</v>
      </c>
      <c r="D16" s="18"/>
      <c r="E16" s="18" t="s">
        <v>87</v>
      </c>
      <c r="F16" s="194" t="s">
        <v>87</v>
      </c>
      <c r="G16" s="194" t="s">
        <v>193</v>
      </c>
      <c r="H16" s="194" t="s">
        <v>100</v>
      </c>
      <c r="I16" s="161" t="s">
        <v>103</v>
      </c>
      <c r="J16" s="18" t="s">
        <v>116</v>
      </c>
      <c r="K16" s="161" t="s">
        <v>104</v>
      </c>
      <c r="L16" s="162" t="s">
        <v>103</v>
      </c>
    </row>
    <row r="17" spans="1:12" ht="10.5">
      <c r="A17" s="160"/>
      <c r="B17" s="194" t="s">
        <v>266</v>
      </c>
      <c r="C17" s="194" t="s">
        <v>201</v>
      </c>
      <c r="D17" s="18"/>
      <c r="E17" s="321" t="s">
        <v>296</v>
      </c>
      <c r="F17" s="321" t="s">
        <v>436</v>
      </c>
      <c r="G17" s="321" t="s">
        <v>87</v>
      </c>
      <c r="H17" s="194" t="s">
        <v>103</v>
      </c>
      <c r="I17" s="161" t="s">
        <v>105</v>
      </c>
      <c r="J17" s="18" t="s">
        <v>118</v>
      </c>
      <c r="K17" s="161" t="s">
        <v>2</v>
      </c>
      <c r="L17" s="162" t="s">
        <v>106</v>
      </c>
    </row>
    <row r="18" spans="1:12" ht="10.5">
      <c r="A18" s="160"/>
      <c r="B18" s="194" t="s">
        <v>267</v>
      </c>
      <c r="C18" s="18"/>
      <c r="D18" s="18"/>
      <c r="E18" s="342"/>
      <c r="F18" s="342" t="s">
        <v>437</v>
      </c>
      <c r="G18" s="342"/>
      <c r="H18" s="194" t="s">
        <v>105</v>
      </c>
      <c r="I18" s="161" t="s">
        <v>107</v>
      </c>
      <c r="J18" s="324" t="s">
        <v>269</v>
      </c>
      <c r="K18" s="161"/>
      <c r="L18" s="443" t="s">
        <v>264</v>
      </c>
    </row>
    <row r="19" spans="1:12" ht="10.5">
      <c r="A19" s="160"/>
      <c r="B19" s="194" t="s">
        <v>177</v>
      </c>
      <c r="C19" s="18"/>
      <c r="D19" s="18"/>
      <c r="E19" s="194"/>
      <c r="F19" s="194" t="s">
        <v>463</v>
      </c>
      <c r="G19" s="194"/>
      <c r="H19" s="18"/>
      <c r="I19" s="163">
        <v>42005</v>
      </c>
      <c r="J19" s="325" t="s">
        <v>120</v>
      </c>
      <c r="K19" s="161"/>
      <c r="L19" s="444">
        <v>42005</v>
      </c>
    </row>
    <row r="20" spans="1:12" ht="12.75" customHeight="1" thickBot="1">
      <c r="A20" s="164"/>
      <c r="B20" s="196"/>
      <c r="C20" s="61"/>
      <c r="D20" s="196" t="s">
        <v>441</v>
      </c>
      <c r="E20" s="196" t="s">
        <v>442</v>
      </c>
      <c r="F20" s="196" t="s">
        <v>438</v>
      </c>
      <c r="G20" s="196" t="s">
        <v>443</v>
      </c>
      <c r="H20" s="147"/>
      <c r="I20" s="322" t="s">
        <v>198</v>
      </c>
      <c r="J20" s="165">
        <v>42005</v>
      </c>
      <c r="K20" s="323" t="s">
        <v>251</v>
      </c>
      <c r="L20" s="445" t="s">
        <v>250</v>
      </c>
    </row>
    <row r="21" spans="1:12" ht="12.75" customHeight="1" thickTop="1">
      <c r="A21" s="166"/>
      <c r="B21" s="17"/>
      <c r="C21" s="17"/>
      <c r="D21" s="17"/>
      <c r="E21" s="17"/>
      <c r="F21" s="17"/>
      <c r="G21" s="17"/>
      <c r="H21" s="167"/>
      <c r="I21" s="167"/>
      <c r="J21" s="168"/>
      <c r="K21" s="17"/>
      <c r="L21" s="17"/>
    </row>
    <row r="22" spans="1:12" ht="10.5" customHeight="1">
      <c r="A22" s="169">
        <v>39814</v>
      </c>
      <c r="B22" s="170">
        <v>1416.37</v>
      </c>
      <c r="C22" s="170">
        <v>0</v>
      </c>
      <c r="D22" s="170">
        <f>B22+C22</f>
        <v>1416.37</v>
      </c>
      <c r="E22" s="329">
        <f>D22*8%</f>
        <v>113.31</v>
      </c>
      <c r="F22" s="329">
        <v>113.31</v>
      </c>
      <c r="G22" s="329">
        <f>E22-F22</f>
        <v>0</v>
      </c>
      <c r="H22" s="433">
        <f>Corr!F48</f>
        <v>1.038165407</v>
      </c>
      <c r="I22" s="170">
        <f>G22*H22</f>
        <v>0</v>
      </c>
      <c r="J22" s="171">
        <f>'06'!L22</f>
        <v>35.03</v>
      </c>
      <c r="K22" s="172">
        <f>I22*J22%</f>
        <v>0</v>
      </c>
      <c r="L22" s="172">
        <f>I22+K22</f>
        <v>0</v>
      </c>
    </row>
    <row r="23" spans="1:12" ht="10.5" customHeight="1">
      <c r="A23" s="169">
        <v>39845</v>
      </c>
      <c r="B23" s="170">
        <v>1843.83</v>
      </c>
      <c r="C23" s="170">
        <v>0</v>
      </c>
      <c r="D23" s="329">
        <f aca="true" t="shared" si="0" ref="D23:D57">B23+C23</f>
        <v>1843.83</v>
      </c>
      <c r="E23" s="329">
        <f aca="true" t="shared" si="1" ref="E23:E56">D23*8%</f>
        <v>147.51</v>
      </c>
      <c r="F23" s="329">
        <v>147.51</v>
      </c>
      <c r="G23" s="329">
        <f aca="true" t="shared" si="2" ref="G23:G57">E23-F23</f>
        <v>0</v>
      </c>
      <c r="H23" s="433">
        <f>Corr!F49</f>
        <v>1.037697406</v>
      </c>
      <c r="I23" s="329">
        <f aca="true" t="shared" si="3" ref="I23:I57">G23*H23</f>
        <v>0</v>
      </c>
      <c r="J23" s="171">
        <f>'06'!L23</f>
        <v>35.03</v>
      </c>
      <c r="K23" s="172">
        <f aca="true" t="shared" si="4" ref="K23:K57">I23*J23%</f>
        <v>0</v>
      </c>
      <c r="L23" s="172">
        <f aca="true" t="shared" si="5" ref="L23:L57">I23+K23</f>
        <v>0</v>
      </c>
    </row>
    <row r="24" spans="1:12" ht="10.5" customHeight="1">
      <c r="A24" s="169">
        <v>39873</v>
      </c>
      <c r="B24" s="170">
        <v>1749.12</v>
      </c>
      <c r="C24" s="170">
        <v>0</v>
      </c>
      <c r="D24" s="329">
        <f t="shared" si="0"/>
        <v>1749.12</v>
      </c>
      <c r="E24" s="329">
        <f t="shared" si="1"/>
        <v>139.93</v>
      </c>
      <c r="F24" s="329">
        <v>139.93</v>
      </c>
      <c r="G24" s="329">
        <f t="shared" si="2"/>
        <v>0</v>
      </c>
      <c r="H24" s="433">
        <f>Corr!F50</f>
        <v>1.03620734</v>
      </c>
      <c r="I24" s="329">
        <f t="shared" si="3"/>
        <v>0</v>
      </c>
      <c r="J24" s="171">
        <f>'06'!L24</f>
        <v>35.03</v>
      </c>
      <c r="K24" s="172">
        <f t="shared" si="4"/>
        <v>0</v>
      </c>
      <c r="L24" s="172">
        <f t="shared" si="5"/>
        <v>0</v>
      </c>
    </row>
    <row r="25" spans="1:12" ht="10.5" customHeight="1">
      <c r="A25" s="169">
        <v>39904</v>
      </c>
      <c r="B25" s="170">
        <v>2638.29</v>
      </c>
      <c r="C25" s="170">
        <v>0</v>
      </c>
      <c r="D25" s="329">
        <f t="shared" si="0"/>
        <v>2638.29</v>
      </c>
      <c r="E25" s="329">
        <v>211.07</v>
      </c>
      <c r="F25" s="329">
        <v>211.07</v>
      </c>
      <c r="G25" s="329">
        <f t="shared" si="2"/>
        <v>0</v>
      </c>
      <c r="H25" s="433">
        <f>Corr!F51</f>
        <v>1.035737115</v>
      </c>
      <c r="I25" s="329">
        <f t="shared" si="3"/>
        <v>0</v>
      </c>
      <c r="J25" s="171">
        <f>J24</f>
        <v>35.03</v>
      </c>
      <c r="K25" s="172">
        <f t="shared" si="4"/>
        <v>0</v>
      </c>
      <c r="L25" s="172">
        <f t="shared" si="5"/>
        <v>0</v>
      </c>
    </row>
    <row r="26" spans="1:12" ht="10.5" customHeight="1">
      <c r="A26" s="169">
        <v>39934</v>
      </c>
      <c r="B26" s="170">
        <v>2987.89</v>
      </c>
      <c r="C26" s="170">
        <v>0</v>
      </c>
      <c r="D26" s="329">
        <f t="shared" si="0"/>
        <v>2987.89</v>
      </c>
      <c r="E26" s="329">
        <v>239.04</v>
      </c>
      <c r="F26" s="329">
        <v>239.04</v>
      </c>
      <c r="G26" s="329">
        <f t="shared" si="2"/>
        <v>0</v>
      </c>
      <c r="H26" s="433">
        <f>Corr!F52</f>
        <v>1.035272278</v>
      </c>
      <c r="I26" s="329">
        <f t="shared" si="3"/>
        <v>0</v>
      </c>
      <c r="J26" s="171">
        <f>'06'!L25</f>
        <v>35.03</v>
      </c>
      <c r="K26" s="172">
        <f t="shared" si="4"/>
        <v>0</v>
      </c>
      <c r="L26" s="172">
        <f t="shared" si="5"/>
        <v>0</v>
      </c>
    </row>
    <row r="27" spans="1:12" ht="10.5" customHeight="1">
      <c r="A27" s="169">
        <v>39965</v>
      </c>
      <c r="B27" s="170">
        <v>2496.87</v>
      </c>
      <c r="C27" s="170">
        <v>0</v>
      </c>
      <c r="D27" s="329">
        <f t="shared" si="0"/>
        <v>2496.87</v>
      </c>
      <c r="E27" s="329">
        <f t="shared" si="1"/>
        <v>199.75</v>
      </c>
      <c r="F27" s="329">
        <v>199.75</v>
      </c>
      <c r="G27" s="329">
        <f t="shared" si="2"/>
        <v>0</v>
      </c>
      <c r="H27" s="433">
        <f>Corr!F53</f>
        <v>1.034593584</v>
      </c>
      <c r="I27" s="329">
        <f t="shared" si="3"/>
        <v>0</v>
      </c>
      <c r="J27" s="171">
        <f>J26</f>
        <v>35.03</v>
      </c>
      <c r="K27" s="172">
        <f t="shared" si="4"/>
        <v>0</v>
      </c>
      <c r="L27" s="172">
        <f t="shared" si="5"/>
        <v>0</v>
      </c>
    </row>
    <row r="28" spans="1:12" ht="10.5" customHeight="1">
      <c r="A28" s="169">
        <v>39995</v>
      </c>
      <c r="B28" s="170">
        <v>2542.69</v>
      </c>
      <c r="C28" s="170">
        <v>0</v>
      </c>
      <c r="D28" s="329">
        <f t="shared" si="0"/>
        <v>2542.69</v>
      </c>
      <c r="E28" s="329">
        <f t="shared" si="1"/>
        <v>203.42</v>
      </c>
      <c r="F28" s="329">
        <v>0</v>
      </c>
      <c r="G28" s="329">
        <f t="shared" si="2"/>
        <v>203.42</v>
      </c>
      <c r="H28" s="433">
        <f>Corr!F54</f>
        <v>1.033507368</v>
      </c>
      <c r="I28" s="329">
        <f t="shared" si="3"/>
        <v>210.24</v>
      </c>
      <c r="J28" s="171">
        <f aca="true" t="shared" si="6" ref="J28:J57">J27</f>
        <v>35.03</v>
      </c>
      <c r="K28" s="172">
        <f t="shared" si="4"/>
        <v>73.65</v>
      </c>
      <c r="L28" s="172">
        <f t="shared" si="5"/>
        <v>283.89</v>
      </c>
    </row>
    <row r="29" spans="1:12" ht="10.5" customHeight="1">
      <c r="A29" s="169">
        <v>40026</v>
      </c>
      <c r="B29" s="170">
        <v>2684.77</v>
      </c>
      <c r="C29" s="170">
        <v>0</v>
      </c>
      <c r="D29" s="329">
        <f t="shared" si="0"/>
        <v>2684.77</v>
      </c>
      <c r="E29" s="329">
        <f t="shared" si="1"/>
        <v>214.78</v>
      </c>
      <c r="F29" s="329">
        <v>214.78</v>
      </c>
      <c r="G29" s="329">
        <f t="shared" si="2"/>
        <v>0</v>
      </c>
      <c r="H29" s="433">
        <f>Corr!F55</f>
        <v>1.033303807</v>
      </c>
      <c r="I29" s="329">
        <f t="shared" si="3"/>
        <v>0</v>
      </c>
      <c r="J29" s="171">
        <f t="shared" si="6"/>
        <v>35.03</v>
      </c>
      <c r="K29" s="172">
        <f t="shared" si="4"/>
        <v>0</v>
      </c>
      <c r="L29" s="172">
        <f t="shared" si="5"/>
        <v>0</v>
      </c>
    </row>
    <row r="30" spans="1:12" ht="10.5" customHeight="1">
      <c r="A30" s="169">
        <v>40057</v>
      </c>
      <c r="B30" s="170">
        <f>1411.67+282.33+930.16+346.5+255.33</f>
        <v>3225.99</v>
      </c>
      <c r="C30" s="170">
        <v>0</v>
      </c>
      <c r="D30" s="329">
        <f t="shared" si="0"/>
        <v>3225.99</v>
      </c>
      <c r="E30" s="329">
        <v>258.07</v>
      </c>
      <c r="F30" s="329">
        <v>258.07</v>
      </c>
      <c r="G30" s="329">
        <f t="shared" si="2"/>
        <v>0</v>
      </c>
      <c r="H30" s="433">
        <f>Corr!F56</f>
        <v>1.033303807</v>
      </c>
      <c r="I30" s="329">
        <f t="shared" si="3"/>
        <v>0</v>
      </c>
      <c r="J30" s="171">
        <f t="shared" si="6"/>
        <v>35.03</v>
      </c>
      <c r="K30" s="172">
        <f t="shared" si="4"/>
        <v>0</v>
      </c>
      <c r="L30" s="172">
        <f t="shared" si="5"/>
        <v>0</v>
      </c>
    </row>
    <row r="31" spans="1:12" ht="10.5" customHeight="1">
      <c r="A31" s="169">
        <v>40087</v>
      </c>
      <c r="B31" s="170">
        <v>1985.49</v>
      </c>
      <c r="C31" s="170">
        <v>0</v>
      </c>
      <c r="D31" s="329">
        <f t="shared" si="0"/>
        <v>1985.49</v>
      </c>
      <c r="E31" s="329">
        <v>158.83</v>
      </c>
      <c r="F31" s="329">
        <v>158.83</v>
      </c>
      <c r="G31" s="329">
        <f t="shared" si="2"/>
        <v>0</v>
      </c>
      <c r="H31" s="433">
        <f>Corr!F57</f>
        <v>1.033303807</v>
      </c>
      <c r="I31" s="329">
        <f t="shared" si="3"/>
        <v>0</v>
      </c>
      <c r="J31" s="171">
        <f t="shared" si="6"/>
        <v>35.03</v>
      </c>
      <c r="K31" s="172">
        <f t="shared" si="4"/>
        <v>0</v>
      </c>
      <c r="L31" s="172">
        <f t="shared" si="5"/>
        <v>0</v>
      </c>
    </row>
    <row r="32" spans="1:12" ht="10.5" customHeight="1">
      <c r="A32" s="169">
        <v>40118</v>
      </c>
      <c r="B32" s="170">
        <v>2976.05</v>
      </c>
      <c r="C32" s="170">
        <v>0</v>
      </c>
      <c r="D32" s="329">
        <f t="shared" si="0"/>
        <v>2976.05</v>
      </c>
      <c r="E32" s="329">
        <f t="shared" si="1"/>
        <v>238.08</v>
      </c>
      <c r="F32" s="329">
        <v>238.08</v>
      </c>
      <c r="G32" s="329">
        <f t="shared" si="2"/>
        <v>0</v>
      </c>
      <c r="H32" s="433">
        <f>Corr!F58</f>
        <v>1.033303807</v>
      </c>
      <c r="I32" s="329">
        <f t="shared" si="3"/>
        <v>0</v>
      </c>
      <c r="J32" s="171">
        <f t="shared" si="6"/>
        <v>35.03</v>
      </c>
      <c r="K32" s="172">
        <f t="shared" si="4"/>
        <v>0</v>
      </c>
      <c r="L32" s="172">
        <f t="shared" si="5"/>
        <v>0</v>
      </c>
    </row>
    <row r="33" spans="1:12" ht="10.5" customHeight="1">
      <c r="A33" s="598" t="s">
        <v>440</v>
      </c>
      <c r="B33" s="329">
        <v>1231.25</v>
      </c>
      <c r="C33" s="329">
        <v>0</v>
      </c>
      <c r="D33" s="329">
        <f t="shared" si="0"/>
        <v>1231.25</v>
      </c>
      <c r="E33" s="329">
        <f>D33*8%</f>
        <v>98.5</v>
      </c>
      <c r="F33" s="329">
        <v>98.5</v>
      </c>
      <c r="G33" s="329">
        <f t="shared" si="2"/>
        <v>0</v>
      </c>
      <c r="H33" s="433">
        <f>H32</f>
        <v>1.033303807</v>
      </c>
      <c r="I33" s="329">
        <f t="shared" si="3"/>
        <v>0</v>
      </c>
      <c r="J33" s="171">
        <f>J32</f>
        <v>35.03</v>
      </c>
      <c r="K33" s="172">
        <f t="shared" si="4"/>
        <v>0</v>
      </c>
      <c r="L33" s="172">
        <f t="shared" si="5"/>
        <v>0</v>
      </c>
    </row>
    <row r="34" spans="1:12" ht="10.5" customHeight="1">
      <c r="A34" s="169">
        <v>40148</v>
      </c>
      <c r="B34" s="170">
        <v>2503.28</v>
      </c>
      <c r="C34" s="170">
        <v>0</v>
      </c>
      <c r="D34" s="329">
        <f t="shared" si="0"/>
        <v>2503.28</v>
      </c>
      <c r="E34" s="329">
        <v>200.27</v>
      </c>
      <c r="F34" s="329">
        <v>271.28</v>
      </c>
      <c r="G34" s="329">
        <f t="shared" si="2"/>
        <v>-71.01</v>
      </c>
      <c r="H34" s="433">
        <f>Corr!G47</f>
        <v>1.03275335</v>
      </c>
      <c r="I34" s="329">
        <f t="shared" si="3"/>
        <v>-73.34</v>
      </c>
      <c r="J34" s="171">
        <f>J32</f>
        <v>35.03</v>
      </c>
      <c r="K34" s="172">
        <f t="shared" si="4"/>
        <v>-25.69</v>
      </c>
      <c r="L34" s="172">
        <f t="shared" si="5"/>
        <v>-99.03</v>
      </c>
    </row>
    <row r="35" spans="1:12" ht="10.5" customHeight="1">
      <c r="A35" s="598" t="s">
        <v>439</v>
      </c>
      <c r="B35" s="329">
        <f>2724.99-1231.25</f>
        <v>1493.74</v>
      </c>
      <c r="C35" s="329">
        <v>0</v>
      </c>
      <c r="D35" s="329">
        <f t="shared" si="0"/>
        <v>1493.74</v>
      </c>
      <c r="E35" s="329">
        <f>D35*8%</f>
        <v>119.5</v>
      </c>
      <c r="F35" s="329">
        <v>48.47</v>
      </c>
      <c r="G35" s="329">
        <f t="shared" si="2"/>
        <v>71.03</v>
      </c>
      <c r="H35" s="433">
        <f>H34</f>
        <v>1.03275335</v>
      </c>
      <c r="I35" s="329">
        <f t="shared" si="3"/>
        <v>73.36</v>
      </c>
      <c r="J35" s="171">
        <f>J34</f>
        <v>35.03</v>
      </c>
      <c r="K35" s="172">
        <f t="shared" si="4"/>
        <v>25.7</v>
      </c>
      <c r="L35" s="172">
        <f t="shared" si="5"/>
        <v>99.06</v>
      </c>
    </row>
    <row r="36" spans="1:14" ht="10.5" customHeight="1">
      <c r="A36" s="169">
        <v>40179</v>
      </c>
      <c r="B36" s="170">
        <v>2506.02</v>
      </c>
      <c r="C36" s="170">
        <v>0</v>
      </c>
      <c r="D36" s="329">
        <f t="shared" si="0"/>
        <v>2506.02</v>
      </c>
      <c r="E36" s="329">
        <f t="shared" si="1"/>
        <v>200.48</v>
      </c>
      <c r="F36" s="329">
        <v>200.48</v>
      </c>
      <c r="G36" s="329">
        <f t="shared" si="2"/>
        <v>0</v>
      </c>
      <c r="H36" s="433">
        <f>Corr!G48</f>
        <v>1.03275335</v>
      </c>
      <c r="I36" s="329">
        <f t="shared" si="3"/>
        <v>0</v>
      </c>
      <c r="J36" s="171">
        <f>J34</f>
        <v>35.03</v>
      </c>
      <c r="K36" s="172">
        <f t="shared" si="4"/>
        <v>0</v>
      </c>
      <c r="L36" s="172">
        <f t="shared" si="5"/>
        <v>0</v>
      </c>
      <c r="N36" s="462"/>
    </row>
    <row r="37" spans="1:12" ht="10.5" customHeight="1">
      <c r="A37" s="169">
        <v>40210</v>
      </c>
      <c r="B37" s="170">
        <v>2738.12</v>
      </c>
      <c r="C37" s="170">
        <v>0</v>
      </c>
      <c r="D37" s="329">
        <f t="shared" si="0"/>
        <v>2738.12</v>
      </c>
      <c r="E37" s="329">
        <f t="shared" si="1"/>
        <v>219.05</v>
      </c>
      <c r="F37" s="329">
        <v>219.05</v>
      </c>
      <c r="G37" s="329">
        <f t="shared" si="2"/>
        <v>0</v>
      </c>
      <c r="H37" s="433">
        <f>Corr!G49</f>
        <v>1.03275335</v>
      </c>
      <c r="I37" s="329">
        <f t="shared" si="3"/>
        <v>0</v>
      </c>
      <c r="J37" s="171">
        <f t="shared" si="6"/>
        <v>35.03</v>
      </c>
      <c r="K37" s="172">
        <f t="shared" si="4"/>
        <v>0</v>
      </c>
      <c r="L37" s="172">
        <f t="shared" si="5"/>
        <v>0</v>
      </c>
    </row>
    <row r="38" spans="1:12" ht="10.5" customHeight="1">
      <c r="A38" s="169">
        <v>40238</v>
      </c>
      <c r="B38" s="170">
        <v>2554.98</v>
      </c>
      <c r="C38" s="170">
        <v>0</v>
      </c>
      <c r="D38" s="329">
        <f t="shared" si="0"/>
        <v>2554.98</v>
      </c>
      <c r="E38" s="329">
        <f t="shared" si="1"/>
        <v>204.4</v>
      </c>
      <c r="F38" s="329">
        <v>127.83</v>
      </c>
      <c r="G38" s="329">
        <f t="shared" si="2"/>
        <v>76.57</v>
      </c>
      <c r="H38" s="433">
        <f>Corr!G50</f>
        <v>1.031936056</v>
      </c>
      <c r="I38" s="329">
        <f t="shared" si="3"/>
        <v>79.02</v>
      </c>
      <c r="J38" s="171">
        <f t="shared" si="6"/>
        <v>35.03</v>
      </c>
      <c r="K38" s="172">
        <f t="shared" si="4"/>
        <v>27.68</v>
      </c>
      <c r="L38" s="172">
        <f t="shared" si="5"/>
        <v>106.7</v>
      </c>
    </row>
    <row r="39" spans="1:12" ht="10.5" customHeight="1">
      <c r="A39" s="169">
        <v>40269</v>
      </c>
      <c r="B39" s="170">
        <v>2773.23</v>
      </c>
      <c r="C39" s="170">
        <v>0</v>
      </c>
      <c r="D39" s="329">
        <f t="shared" si="0"/>
        <v>2773.23</v>
      </c>
      <c r="E39" s="329">
        <f t="shared" si="1"/>
        <v>221.86</v>
      </c>
      <c r="F39" s="329">
        <v>0</v>
      </c>
      <c r="G39" s="329">
        <f t="shared" si="2"/>
        <v>221.86</v>
      </c>
      <c r="H39" s="433">
        <f>Corr!G51</f>
        <v>1.031936056</v>
      </c>
      <c r="I39" s="329">
        <f t="shared" si="3"/>
        <v>228.95</v>
      </c>
      <c r="J39" s="171">
        <f t="shared" si="6"/>
        <v>35.03</v>
      </c>
      <c r="K39" s="172">
        <f t="shared" si="4"/>
        <v>80.2</v>
      </c>
      <c r="L39" s="172">
        <f t="shared" si="5"/>
        <v>309.15</v>
      </c>
    </row>
    <row r="40" spans="1:12" ht="10.5" customHeight="1">
      <c r="A40" s="169">
        <v>40299</v>
      </c>
      <c r="B40" s="170">
        <v>3514.25</v>
      </c>
      <c r="C40" s="170">
        <v>0</v>
      </c>
      <c r="D40" s="329">
        <f t="shared" si="0"/>
        <v>3514.25</v>
      </c>
      <c r="E40" s="329">
        <f t="shared" si="1"/>
        <v>281.14</v>
      </c>
      <c r="F40" s="329">
        <v>0</v>
      </c>
      <c r="G40" s="329">
        <f t="shared" si="2"/>
        <v>281.14</v>
      </c>
      <c r="H40" s="433">
        <f>Corr!G52</f>
        <v>1.031410037</v>
      </c>
      <c r="I40" s="329">
        <f t="shared" si="3"/>
        <v>289.97</v>
      </c>
      <c r="J40" s="171">
        <f t="shared" si="6"/>
        <v>35.03</v>
      </c>
      <c r="K40" s="172">
        <f t="shared" si="4"/>
        <v>101.58</v>
      </c>
      <c r="L40" s="172">
        <f t="shared" si="5"/>
        <v>391.55</v>
      </c>
    </row>
    <row r="41" spans="1:12" ht="10.5" customHeight="1">
      <c r="A41" s="169">
        <v>40330</v>
      </c>
      <c r="B41" s="170">
        <v>2684.8</v>
      </c>
      <c r="C41" s="170">
        <v>0</v>
      </c>
      <c r="D41" s="329">
        <f t="shared" si="0"/>
        <v>2684.8</v>
      </c>
      <c r="E41" s="329">
        <f t="shared" si="1"/>
        <v>214.78</v>
      </c>
      <c r="F41" s="329">
        <v>0</v>
      </c>
      <c r="G41" s="329">
        <f t="shared" si="2"/>
        <v>214.78</v>
      </c>
      <c r="H41" s="433">
        <f>Corr!G53</f>
        <v>1.030802894</v>
      </c>
      <c r="I41" s="329">
        <f t="shared" si="3"/>
        <v>221.4</v>
      </c>
      <c r="J41" s="171">
        <f t="shared" si="6"/>
        <v>35.03</v>
      </c>
      <c r="K41" s="172">
        <f t="shared" si="4"/>
        <v>77.56</v>
      </c>
      <c r="L41" s="172">
        <f t="shared" si="5"/>
        <v>298.96</v>
      </c>
    </row>
    <row r="42" spans="1:12" ht="10.5" customHeight="1">
      <c r="A42" s="169">
        <v>40360</v>
      </c>
      <c r="B42" s="170">
        <v>3116.53</v>
      </c>
      <c r="C42" s="170">
        <v>0</v>
      </c>
      <c r="D42" s="329">
        <f t="shared" si="0"/>
        <v>3116.53</v>
      </c>
      <c r="E42" s="329">
        <v>249.33</v>
      </c>
      <c r="F42" s="329">
        <v>249.33</v>
      </c>
      <c r="G42" s="329">
        <f t="shared" si="2"/>
        <v>0</v>
      </c>
      <c r="H42" s="433">
        <f>Corr!G54</f>
        <v>1.029617804</v>
      </c>
      <c r="I42" s="329">
        <f t="shared" si="3"/>
        <v>0</v>
      </c>
      <c r="J42" s="171">
        <f t="shared" si="6"/>
        <v>35.03</v>
      </c>
      <c r="K42" s="172">
        <f t="shared" si="4"/>
        <v>0</v>
      </c>
      <c r="L42" s="172">
        <f t="shared" si="5"/>
        <v>0</v>
      </c>
    </row>
    <row r="43" spans="1:12" ht="10.5" customHeight="1">
      <c r="A43" s="169">
        <v>40391</v>
      </c>
      <c r="B43" s="170">
        <v>3451.84</v>
      </c>
      <c r="C43" s="170">
        <v>0</v>
      </c>
      <c r="D43" s="329">
        <f t="shared" si="0"/>
        <v>3451.84</v>
      </c>
      <c r="E43" s="329">
        <f t="shared" si="1"/>
        <v>276.15</v>
      </c>
      <c r="F43" s="329">
        <v>276.15</v>
      </c>
      <c r="G43" s="329">
        <f t="shared" si="2"/>
        <v>0</v>
      </c>
      <c r="H43" s="433">
        <f>Corr!G55</f>
        <v>1.028682732</v>
      </c>
      <c r="I43" s="329">
        <f t="shared" si="3"/>
        <v>0</v>
      </c>
      <c r="J43" s="171">
        <f t="shared" si="6"/>
        <v>35.03</v>
      </c>
      <c r="K43" s="172">
        <f t="shared" si="4"/>
        <v>0</v>
      </c>
      <c r="L43" s="172">
        <f t="shared" si="5"/>
        <v>0</v>
      </c>
    </row>
    <row r="44" spans="1:12" ht="10.5" customHeight="1">
      <c r="A44" s="169">
        <v>40422</v>
      </c>
      <c r="B44" s="170">
        <v>3423.84</v>
      </c>
      <c r="C44" s="170">
        <v>0</v>
      </c>
      <c r="D44" s="329">
        <f t="shared" si="0"/>
        <v>3423.84</v>
      </c>
      <c r="E44" s="329">
        <f t="shared" si="1"/>
        <v>273.91</v>
      </c>
      <c r="F44" s="329">
        <v>273.91</v>
      </c>
      <c r="G44" s="329">
        <f t="shared" si="2"/>
        <v>0</v>
      </c>
      <c r="H44" s="433">
        <f>Corr!G56</f>
        <v>1.027961103</v>
      </c>
      <c r="I44" s="329">
        <f t="shared" si="3"/>
        <v>0</v>
      </c>
      <c r="J44" s="171">
        <f t="shared" si="6"/>
        <v>35.03</v>
      </c>
      <c r="K44" s="172">
        <f t="shared" si="4"/>
        <v>0</v>
      </c>
      <c r="L44" s="172">
        <f t="shared" si="5"/>
        <v>0</v>
      </c>
    </row>
    <row r="45" spans="1:15" ht="10.5" customHeight="1">
      <c r="A45" s="169">
        <v>40452</v>
      </c>
      <c r="B45" s="170">
        <v>3098.48</v>
      </c>
      <c r="C45" s="170">
        <v>0</v>
      </c>
      <c r="D45" s="329">
        <f t="shared" si="0"/>
        <v>3098.48</v>
      </c>
      <c r="E45" s="329">
        <f t="shared" si="1"/>
        <v>247.88</v>
      </c>
      <c r="F45" s="329">
        <v>0</v>
      </c>
      <c r="G45" s="329">
        <v>0</v>
      </c>
      <c r="H45" s="433">
        <f>Corr!G57</f>
        <v>1.027476134</v>
      </c>
      <c r="I45" s="329">
        <f t="shared" si="3"/>
        <v>0</v>
      </c>
      <c r="J45" s="171">
        <f t="shared" si="6"/>
        <v>35.03</v>
      </c>
      <c r="K45" s="172">
        <f t="shared" si="4"/>
        <v>0</v>
      </c>
      <c r="L45" s="172">
        <f t="shared" si="5"/>
        <v>0</v>
      </c>
      <c r="O45" s="173"/>
    </row>
    <row r="46" spans="1:12" ht="10.5" customHeight="1">
      <c r="A46" s="169">
        <v>40483</v>
      </c>
      <c r="B46" s="170">
        <v>2712.32</v>
      </c>
      <c r="C46" s="170">
        <v>0</v>
      </c>
      <c r="D46" s="329">
        <f t="shared" si="0"/>
        <v>2712.32</v>
      </c>
      <c r="E46" s="329">
        <v>216.98</v>
      </c>
      <c r="F46" s="329">
        <v>216.98</v>
      </c>
      <c r="G46" s="329">
        <v>0</v>
      </c>
      <c r="H46" s="433">
        <f>Corr!G58</f>
        <v>1.027131018</v>
      </c>
      <c r="I46" s="329">
        <f t="shared" si="3"/>
        <v>0</v>
      </c>
      <c r="J46" s="171">
        <f t="shared" si="6"/>
        <v>35.03</v>
      </c>
      <c r="K46" s="172">
        <f t="shared" si="4"/>
        <v>0</v>
      </c>
      <c r="L46" s="172">
        <f t="shared" si="5"/>
        <v>0</v>
      </c>
    </row>
    <row r="47" spans="1:12" ht="10.5" customHeight="1">
      <c r="A47" s="598" t="s">
        <v>440</v>
      </c>
      <c r="B47" s="329">
        <f>1830.4/2</f>
        <v>915.2</v>
      </c>
      <c r="C47" s="329">
        <v>0</v>
      </c>
      <c r="D47" s="329">
        <f t="shared" si="0"/>
        <v>915.2</v>
      </c>
      <c r="E47" s="329">
        <f>D47*8%</f>
        <v>73.22</v>
      </c>
      <c r="F47" s="329">
        <v>0</v>
      </c>
      <c r="G47" s="329">
        <v>0</v>
      </c>
      <c r="H47" s="433">
        <f>H46</f>
        <v>1.027131018</v>
      </c>
      <c r="I47" s="329">
        <f t="shared" si="3"/>
        <v>0</v>
      </c>
      <c r="J47" s="171">
        <f>J46</f>
        <v>35.03</v>
      </c>
      <c r="K47" s="172">
        <f t="shared" si="4"/>
        <v>0</v>
      </c>
      <c r="L47" s="172">
        <f t="shared" si="5"/>
        <v>0</v>
      </c>
    </row>
    <row r="48" spans="1:12" ht="10.5" customHeight="1">
      <c r="A48" s="169">
        <v>40513</v>
      </c>
      <c r="B48" s="329">
        <v>3093.73</v>
      </c>
      <c r="C48" s="329">
        <v>0</v>
      </c>
      <c r="D48" s="329">
        <f t="shared" si="0"/>
        <v>3093.73</v>
      </c>
      <c r="E48" s="329">
        <f t="shared" si="1"/>
        <v>247.5</v>
      </c>
      <c r="F48" s="329">
        <v>0</v>
      </c>
      <c r="G48" s="329">
        <v>0</v>
      </c>
      <c r="H48" s="433">
        <f>Corr!H47</f>
        <v>1.0256889</v>
      </c>
      <c r="I48" s="329">
        <f t="shared" si="3"/>
        <v>0</v>
      </c>
      <c r="J48" s="171">
        <f>J46</f>
        <v>35.03</v>
      </c>
      <c r="K48" s="172">
        <f t="shared" si="4"/>
        <v>0</v>
      </c>
      <c r="L48" s="172">
        <f t="shared" si="5"/>
        <v>0</v>
      </c>
    </row>
    <row r="49" spans="1:12" ht="10.5" customHeight="1">
      <c r="A49" s="598" t="s">
        <v>439</v>
      </c>
      <c r="B49" s="329">
        <v>915.2</v>
      </c>
      <c r="C49" s="329">
        <v>0</v>
      </c>
      <c r="D49" s="329">
        <f t="shared" si="0"/>
        <v>915.2</v>
      </c>
      <c r="E49" s="329">
        <f>D49*8%</f>
        <v>73.22</v>
      </c>
      <c r="F49" s="329">
        <v>0</v>
      </c>
      <c r="G49" s="329">
        <v>0</v>
      </c>
      <c r="H49" s="433">
        <f>H48</f>
        <v>1.0256889</v>
      </c>
      <c r="I49" s="329">
        <f t="shared" si="3"/>
        <v>0</v>
      </c>
      <c r="J49" s="171">
        <f>J48</f>
        <v>35.03</v>
      </c>
      <c r="K49" s="172">
        <f t="shared" si="4"/>
        <v>0</v>
      </c>
      <c r="L49" s="172">
        <f t="shared" si="5"/>
        <v>0</v>
      </c>
    </row>
    <row r="50" spans="1:12" ht="10.5" customHeight="1">
      <c r="A50" s="169">
        <v>40544</v>
      </c>
      <c r="B50" s="170">
        <v>2572.32</v>
      </c>
      <c r="C50" s="170">
        <v>0</v>
      </c>
      <c r="D50" s="329">
        <f t="shared" si="0"/>
        <v>2572.32</v>
      </c>
      <c r="E50" s="329">
        <v>205.78</v>
      </c>
      <c r="F50" s="329">
        <v>205.78</v>
      </c>
      <c r="G50" s="329">
        <f t="shared" si="2"/>
        <v>0</v>
      </c>
      <c r="H50" s="433">
        <f>Corr!H48</f>
        <v>1.024956056</v>
      </c>
      <c r="I50" s="329">
        <f t="shared" si="3"/>
        <v>0</v>
      </c>
      <c r="J50" s="171">
        <f>J48</f>
        <v>35.03</v>
      </c>
      <c r="K50" s="172">
        <f t="shared" si="4"/>
        <v>0</v>
      </c>
      <c r="L50" s="172">
        <f t="shared" si="5"/>
        <v>0</v>
      </c>
    </row>
    <row r="51" spans="1:12" ht="10.5" customHeight="1">
      <c r="A51" s="169">
        <v>40575</v>
      </c>
      <c r="B51" s="170">
        <v>1945.49</v>
      </c>
      <c r="C51" s="170">
        <v>0</v>
      </c>
      <c r="D51" s="329">
        <f t="shared" si="0"/>
        <v>1945.49</v>
      </c>
      <c r="E51" s="329">
        <v>155.63</v>
      </c>
      <c r="F51" s="329">
        <v>155.63</v>
      </c>
      <c r="G51" s="329">
        <f t="shared" si="2"/>
        <v>0</v>
      </c>
      <c r="H51" s="433">
        <f>Corr!H49</f>
        <v>1.02441926</v>
      </c>
      <c r="I51" s="329">
        <f t="shared" si="3"/>
        <v>0</v>
      </c>
      <c r="J51" s="171">
        <f t="shared" si="6"/>
        <v>35.03</v>
      </c>
      <c r="K51" s="172">
        <f t="shared" si="4"/>
        <v>0</v>
      </c>
      <c r="L51" s="172">
        <f t="shared" si="5"/>
        <v>0</v>
      </c>
    </row>
    <row r="52" spans="1:14" s="326" customFormat="1" ht="10.5" customHeight="1">
      <c r="A52" s="169">
        <v>40603</v>
      </c>
      <c r="B52" s="170">
        <v>2024.43</v>
      </c>
      <c r="C52" s="170">
        <v>0</v>
      </c>
      <c r="D52" s="329">
        <f t="shared" si="0"/>
        <v>2024.43</v>
      </c>
      <c r="E52" s="329">
        <f t="shared" si="1"/>
        <v>161.95</v>
      </c>
      <c r="F52" s="329">
        <v>0</v>
      </c>
      <c r="G52" s="329">
        <v>0</v>
      </c>
      <c r="H52" s="433">
        <f>Corr!H50</f>
        <v>1.023179167</v>
      </c>
      <c r="I52" s="329">
        <f t="shared" si="3"/>
        <v>0</v>
      </c>
      <c r="J52" s="171">
        <f t="shared" si="6"/>
        <v>35.03</v>
      </c>
      <c r="K52" s="172">
        <f t="shared" si="4"/>
        <v>0</v>
      </c>
      <c r="L52" s="172">
        <f t="shared" si="5"/>
        <v>0</v>
      </c>
      <c r="N52" s="327"/>
    </row>
    <row r="53" spans="1:14" s="326" customFormat="1" ht="10.5" customHeight="1">
      <c r="A53" s="169">
        <v>40634</v>
      </c>
      <c r="B53" s="170">
        <v>976.21</v>
      </c>
      <c r="C53" s="170">
        <v>0</v>
      </c>
      <c r="D53" s="329">
        <f t="shared" si="0"/>
        <v>976.21</v>
      </c>
      <c r="E53" s="329">
        <f t="shared" si="1"/>
        <v>78.1</v>
      </c>
      <c r="F53" s="329">
        <v>0</v>
      </c>
      <c r="G53" s="329">
        <v>0</v>
      </c>
      <c r="H53" s="433">
        <f>Corr!H51</f>
        <v>1.022801753</v>
      </c>
      <c r="I53" s="329">
        <f t="shared" si="3"/>
        <v>0</v>
      </c>
      <c r="J53" s="171">
        <f t="shared" si="6"/>
        <v>35.03</v>
      </c>
      <c r="K53" s="172">
        <f t="shared" si="4"/>
        <v>0</v>
      </c>
      <c r="L53" s="172">
        <f t="shared" si="5"/>
        <v>0</v>
      </c>
      <c r="N53" s="327"/>
    </row>
    <row r="54" spans="1:14" s="326" customFormat="1" ht="10.5" customHeight="1">
      <c r="A54" s="169">
        <v>40664</v>
      </c>
      <c r="B54" s="170">
        <v>2075.56</v>
      </c>
      <c r="C54" s="170">
        <v>0</v>
      </c>
      <c r="D54" s="329">
        <f t="shared" si="0"/>
        <v>2075.56</v>
      </c>
      <c r="E54" s="329">
        <f t="shared" si="1"/>
        <v>166.04</v>
      </c>
      <c r="F54" s="329">
        <v>0</v>
      </c>
      <c r="G54" s="329">
        <f t="shared" si="2"/>
        <v>166.04</v>
      </c>
      <c r="H54" s="433">
        <f>Corr!H52</f>
        <v>1.021198472</v>
      </c>
      <c r="I54" s="329">
        <f t="shared" si="3"/>
        <v>169.56</v>
      </c>
      <c r="J54" s="171">
        <f>J53</f>
        <v>35.03</v>
      </c>
      <c r="K54" s="172">
        <f t="shared" si="4"/>
        <v>59.4</v>
      </c>
      <c r="L54" s="172">
        <f t="shared" si="5"/>
        <v>228.96</v>
      </c>
      <c r="N54" s="327"/>
    </row>
    <row r="55" spans="1:12" ht="10.5" customHeight="1">
      <c r="A55" s="169">
        <v>40695</v>
      </c>
      <c r="B55" s="170">
        <v>468.67</v>
      </c>
      <c r="C55" s="170">
        <v>2053.24</v>
      </c>
      <c r="D55" s="329">
        <f t="shared" si="0"/>
        <v>2521.91</v>
      </c>
      <c r="E55" s="329">
        <f t="shared" si="1"/>
        <v>201.75</v>
      </c>
      <c r="F55" s="329">
        <v>0</v>
      </c>
      <c r="G55" s="329">
        <f t="shared" si="2"/>
        <v>201.75</v>
      </c>
      <c r="H55" s="433">
        <f>Corr!H53</f>
        <v>1.020062123</v>
      </c>
      <c r="I55" s="329">
        <f t="shared" si="3"/>
        <v>205.8</v>
      </c>
      <c r="J55" s="171">
        <f t="shared" si="6"/>
        <v>35.03</v>
      </c>
      <c r="K55" s="172">
        <f t="shared" si="4"/>
        <v>72.09</v>
      </c>
      <c r="L55" s="172">
        <f t="shared" si="5"/>
        <v>277.89</v>
      </c>
    </row>
    <row r="56" spans="1:12" ht="10.5" customHeight="1">
      <c r="A56" s="169">
        <v>40725</v>
      </c>
      <c r="B56" s="170">
        <v>1339.07</v>
      </c>
      <c r="C56" s="170">
        <v>624.89</v>
      </c>
      <c r="D56" s="329">
        <f t="shared" si="0"/>
        <v>1963.96</v>
      </c>
      <c r="E56" s="329">
        <f t="shared" si="1"/>
        <v>157.12</v>
      </c>
      <c r="F56" s="329">
        <v>0</v>
      </c>
      <c r="G56" s="329">
        <f t="shared" si="2"/>
        <v>157.12</v>
      </c>
      <c r="H56" s="433">
        <f>Corr!H54</f>
        <v>1.018810005</v>
      </c>
      <c r="I56" s="329">
        <f t="shared" si="3"/>
        <v>160.08</v>
      </c>
      <c r="J56" s="171">
        <f t="shared" si="6"/>
        <v>35.03</v>
      </c>
      <c r="K56" s="172">
        <f t="shared" si="4"/>
        <v>56.08</v>
      </c>
      <c r="L56" s="172">
        <f t="shared" si="5"/>
        <v>216.16</v>
      </c>
    </row>
    <row r="57" spans="1:12" ht="10.5" customHeight="1">
      <c r="A57" s="169">
        <v>40756</v>
      </c>
      <c r="B57" s="170">
        <v>0</v>
      </c>
      <c r="C57" s="170">
        <v>0</v>
      </c>
      <c r="D57" s="329">
        <f t="shared" si="0"/>
        <v>0</v>
      </c>
      <c r="E57" s="329">
        <f>D57*11.2%</f>
        <v>0</v>
      </c>
      <c r="F57" s="329">
        <v>0</v>
      </c>
      <c r="G57" s="329">
        <f t="shared" si="2"/>
        <v>0</v>
      </c>
      <c r="H57" s="433">
        <f>Corr!H55</f>
        <v>1.016699337</v>
      </c>
      <c r="I57" s="329">
        <f t="shared" si="3"/>
        <v>0</v>
      </c>
      <c r="J57" s="171">
        <f t="shared" si="6"/>
        <v>35.03</v>
      </c>
      <c r="K57" s="172">
        <f t="shared" si="4"/>
        <v>0</v>
      </c>
      <c r="L57" s="172">
        <f t="shared" si="5"/>
        <v>0</v>
      </c>
    </row>
    <row r="59" spans="2:12" ht="10.5">
      <c r="B59" s="284">
        <f aca="true" t="shared" si="7" ref="B59:G59">SUM(B22:B57)</f>
        <v>80675.92</v>
      </c>
      <c r="C59" s="284">
        <f t="shared" si="7"/>
        <v>2678.13</v>
      </c>
      <c r="D59" s="284">
        <f t="shared" si="7"/>
        <v>83354.05</v>
      </c>
      <c r="E59" s="284">
        <f t="shared" si="7"/>
        <v>6668.33</v>
      </c>
      <c r="F59" s="284">
        <f t="shared" si="7"/>
        <v>4263.76</v>
      </c>
      <c r="G59" s="284">
        <f t="shared" si="7"/>
        <v>1522.7</v>
      </c>
      <c r="I59" s="284">
        <f>SUM(I22:I57)</f>
        <v>1565.04</v>
      </c>
      <c r="K59" s="284">
        <f>SUM(K22:K57)</f>
        <v>548.25</v>
      </c>
      <c r="L59" s="284">
        <f>SUM(L22:L57)</f>
        <v>2113.29</v>
      </c>
    </row>
    <row r="62" spans="7:8" ht="10.5">
      <c r="G62" s="132"/>
      <c r="H62" s="132" t="s">
        <v>457</v>
      </c>
    </row>
    <row r="63" spans="7:8" ht="12.75">
      <c r="G63" s="613" t="s">
        <v>458</v>
      </c>
      <c r="H63" s="132"/>
    </row>
  </sheetData>
  <sheetProtection/>
  <printOptions/>
  <pageMargins left="1.4960629921259843" right="0.5118110236220472" top="0.6692913385826772" bottom="0.5905511811023623" header="0.31496062992125984" footer="0.31496062992125984"/>
  <pageSetup horizontalDpi="600" verticalDpi="600" orientation="landscape" paperSize="9" r:id="rId1"/>
  <headerFooter>
    <oddHeader>&amp;R
Anexo : 09
Folha : 0&amp;P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C63"/>
  <sheetViews>
    <sheetView zoomScalePageLayoutView="0" workbookViewId="0" topLeftCell="A13">
      <selection activeCell="N12" sqref="N12"/>
    </sheetView>
  </sheetViews>
  <sheetFormatPr defaultColWidth="13.33203125" defaultRowHeight="10.5"/>
  <cols>
    <col min="1" max="1" width="11.33203125" style="16" customWidth="1"/>
    <col min="2" max="2" width="13.5" style="16" customWidth="1"/>
    <col min="3" max="3" width="10.5" style="16" customWidth="1"/>
    <col min="4" max="4" width="13.16015625" style="16" customWidth="1"/>
    <col min="5" max="5" width="11" style="16" customWidth="1"/>
    <col min="6" max="6" width="11.16015625" style="16" customWidth="1"/>
    <col min="7" max="7" width="12.33203125" style="16" customWidth="1"/>
    <col min="8" max="8" width="12.16015625" style="16" customWidth="1"/>
    <col min="9" max="9" width="12.66015625" style="16" customWidth="1"/>
    <col min="10" max="10" width="11.16015625" style="16" customWidth="1"/>
    <col min="11" max="11" width="13" style="16" customWidth="1"/>
    <col min="12" max="12" width="13.33203125" style="16" customWidth="1"/>
    <col min="13" max="13" width="13.33203125" style="156" customWidth="1"/>
    <col min="14" max="16384" width="13.33203125" style="16" customWidth="1"/>
  </cols>
  <sheetData>
    <row r="1" spans="1:4" s="611" customFormat="1" ht="14.25" customHeight="1">
      <c r="A1" s="610" t="s">
        <v>471</v>
      </c>
      <c r="B1" s="610"/>
      <c r="C1" s="610"/>
      <c r="D1" s="610"/>
    </row>
    <row r="2" spans="1:4" s="107" customFormat="1" ht="10.5" customHeight="1">
      <c r="A2" s="132"/>
      <c r="B2" s="612"/>
      <c r="C2" s="132"/>
      <c r="D2" s="132"/>
    </row>
    <row r="3" spans="1:4" s="107" customFormat="1" ht="10.5" customHeight="1">
      <c r="A3" s="132"/>
      <c r="B3" s="612"/>
      <c r="C3" s="132"/>
      <c r="D3" s="132"/>
    </row>
    <row r="4" spans="1:13" s="52" customFormat="1" ht="10.5" customHeight="1">
      <c r="A4" s="52" t="s">
        <v>308</v>
      </c>
      <c r="M4" s="320"/>
    </row>
    <row r="5" s="52" customFormat="1" ht="10.5" customHeight="1">
      <c r="M5" s="320"/>
    </row>
    <row r="6" spans="1:4" s="176" customFormat="1" ht="11.25" customHeight="1">
      <c r="A6" s="175" t="s">
        <v>451</v>
      </c>
      <c r="B6" s="53"/>
      <c r="C6" s="288"/>
      <c r="D6" s="107"/>
    </row>
    <row r="7" spans="1:4" s="176" customFormat="1" ht="11.25" customHeight="1">
      <c r="A7" s="173" t="s">
        <v>453</v>
      </c>
      <c r="B7" s="16"/>
      <c r="C7" s="294"/>
      <c r="D7" s="107"/>
    </row>
    <row r="8" spans="1:4" s="176" customFormat="1" ht="11.25" customHeight="1">
      <c r="A8" s="173" t="s">
        <v>454</v>
      </c>
      <c r="B8" s="16"/>
      <c r="C8" s="294"/>
      <c r="D8" s="107"/>
    </row>
    <row r="9" spans="1:4" s="176" customFormat="1" ht="11.25" customHeight="1">
      <c r="A9" s="173" t="s">
        <v>452</v>
      </c>
      <c r="B9" s="16"/>
      <c r="C9" s="294"/>
      <c r="D9" s="107"/>
    </row>
    <row r="10" spans="1:4" s="176" customFormat="1" ht="11.25" customHeight="1">
      <c r="A10" s="175" t="s">
        <v>455</v>
      </c>
      <c r="B10" s="53"/>
      <c r="C10" s="288"/>
      <c r="D10" s="107"/>
    </row>
    <row r="11" spans="1:29" s="176" customFormat="1" ht="11.25" customHeight="1">
      <c r="A11" s="173" t="s">
        <v>470</v>
      </c>
      <c r="B11" s="16"/>
      <c r="C11" s="294"/>
      <c r="D11" s="107"/>
      <c r="X11" s="107"/>
      <c r="Y11" s="107"/>
      <c r="Z11" s="107"/>
      <c r="AA11" s="107"/>
      <c r="AB11" s="107"/>
      <c r="AC11" s="107"/>
    </row>
    <row r="12" ht="13.5" customHeight="1" thickBot="1"/>
    <row r="13" spans="1:11" ht="12" thickBot="1" thickTop="1">
      <c r="A13" s="55" t="s">
        <v>3</v>
      </c>
      <c r="B13" s="55" t="s">
        <v>4</v>
      </c>
      <c r="C13" s="55" t="s">
        <v>5</v>
      </c>
      <c r="D13" s="55" t="s">
        <v>6</v>
      </c>
      <c r="E13" s="55" t="s">
        <v>7</v>
      </c>
      <c r="F13" s="55" t="s">
        <v>8</v>
      </c>
      <c r="G13" s="55" t="s">
        <v>9</v>
      </c>
      <c r="H13" s="55" t="s">
        <v>10</v>
      </c>
      <c r="I13" s="55" t="s">
        <v>11</v>
      </c>
      <c r="J13" s="55" t="s">
        <v>80</v>
      </c>
      <c r="K13" s="55" t="s">
        <v>101</v>
      </c>
    </row>
    <row r="14" ht="12" thickBot="1" thickTop="1">
      <c r="A14" s="65"/>
    </row>
    <row r="15" spans="1:11" ht="11.25" thickTop="1">
      <c r="A15" s="157" t="s">
        <v>1</v>
      </c>
      <c r="B15" s="328" t="s">
        <v>265</v>
      </c>
      <c r="C15" s="328" t="s">
        <v>200</v>
      </c>
      <c r="D15" s="15" t="s">
        <v>112</v>
      </c>
      <c r="E15" s="328" t="s">
        <v>309</v>
      </c>
      <c r="F15" s="328" t="s">
        <v>211</v>
      </c>
      <c r="G15" s="15" t="s">
        <v>113</v>
      </c>
      <c r="H15" s="158" t="s">
        <v>15</v>
      </c>
      <c r="I15" s="15" t="s">
        <v>36</v>
      </c>
      <c r="J15" s="158" t="s">
        <v>12</v>
      </c>
      <c r="K15" s="159" t="s">
        <v>15</v>
      </c>
    </row>
    <row r="16" spans="1:11" ht="10.5">
      <c r="A16" s="160"/>
      <c r="B16" s="194" t="s">
        <v>197</v>
      </c>
      <c r="C16" s="194" t="s">
        <v>202</v>
      </c>
      <c r="D16" s="18"/>
      <c r="E16" s="18" t="s">
        <v>87</v>
      </c>
      <c r="F16" s="342">
        <v>0.4</v>
      </c>
      <c r="G16" s="194" t="s">
        <v>100</v>
      </c>
      <c r="H16" s="161" t="s">
        <v>103</v>
      </c>
      <c r="I16" s="18" t="s">
        <v>116</v>
      </c>
      <c r="J16" s="161" t="s">
        <v>104</v>
      </c>
      <c r="K16" s="162" t="s">
        <v>103</v>
      </c>
    </row>
    <row r="17" spans="1:11" ht="10.5">
      <c r="A17" s="160"/>
      <c r="B17" s="194" t="s">
        <v>266</v>
      </c>
      <c r="C17" s="194" t="s">
        <v>201</v>
      </c>
      <c r="D17" s="18"/>
      <c r="E17" s="321" t="s">
        <v>310</v>
      </c>
      <c r="F17" s="321" t="s">
        <v>87</v>
      </c>
      <c r="G17" s="194" t="s">
        <v>103</v>
      </c>
      <c r="H17" s="161" t="s">
        <v>105</v>
      </c>
      <c r="I17" s="18" t="s">
        <v>118</v>
      </c>
      <c r="J17" s="161" t="s">
        <v>2</v>
      </c>
      <c r="K17" s="162" t="s">
        <v>106</v>
      </c>
    </row>
    <row r="18" spans="1:11" ht="10.5">
      <c r="A18" s="160"/>
      <c r="B18" s="194" t="s">
        <v>267</v>
      </c>
      <c r="C18" s="18"/>
      <c r="D18" s="18"/>
      <c r="E18" s="342">
        <v>0.08</v>
      </c>
      <c r="F18" s="342"/>
      <c r="G18" s="194" t="s">
        <v>105</v>
      </c>
      <c r="H18" s="161" t="s">
        <v>107</v>
      </c>
      <c r="I18" s="324" t="s">
        <v>269</v>
      </c>
      <c r="J18" s="161"/>
      <c r="K18" s="443" t="s">
        <v>264</v>
      </c>
    </row>
    <row r="19" spans="1:11" ht="10.5">
      <c r="A19" s="160"/>
      <c r="B19" s="194" t="s">
        <v>177</v>
      </c>
      <c r="C19" s="18"/>
      <c r="D19" s="18"/>
      <c r="E19" s="194"/>
      <c r="F19" s="194"/>
      <c r="G19" s="18"/>
      <c r="H19" s="163">
        <v>42005</v>
      </c>
      <c r="I19" s="325" t="s">
        <v>120</v>
      </c>
      <c r="J19" s="161"/>
      <c r="K19" s="444">
        <v>42005</v>
      </c>
    </row>
    <row r="20" spans="1:11" ht="12.75" customHeight="1" thickBot="1">
      <c r="A20" s="164"/>
      <c r="B20" s="196"/>
      <c r="C20" s="61"/>
      <c r="D20" s="196" t="s">
        <v>268</v>
      </c>
      <c r="E20" s="196" t="s">
        <v>297</v>
      </c>
      <c r="F20" s="196" t="s">
        <v>311</v>
      </c>
      <c r="G20" s="147"/>
      <c r="H20" s="322" t="s">
        <v>306</v>
      </c>
      <c r="I20" s="165">
        <v>42005</v>
      </c>
      <c r="J20" s="323" t="s">
        <v>307</v>
      </c>
      <c r="K20" s="445" t="s">
        <v>121</v>
      </c>
    </row>
    <row r="21" spans="1:11" ht="12.75" customHeight="1" thickTop="1">
      <c r="A21" s="166"/>
      <c r="B21" s="17"/>
      <c r="C21" s="17"/>
      <c r="D21" s="17"/>
      <c r="E21" s="17"/>
      <c r="F21" s="17"/>
      <c r="G21" s="167"/>
      <c r="H21" s="167"/>
      <c r="I21" s="168"/>
      <c r="J21" s="17"/>
      <c r="K21" s="17"/>
    </row>
    <row r="22" spans="1:11" ht="10.5" customHeight="1">
      <c r="A22" s="169">
        <f>'09'!A22</f>
        <v>39814</v>
      </c>
      <c r="B22" s="329">
        <f>'09'!B22</f>
        <v>1416.37</v>
      </c>
      <c r="C22" s="329">
        <v>0</v>
      </c>
      <c r="D22" s="329">
        <f>B22+C22</f>
        <v>1416.37</v>
      </c>
      <c r="E22" s="329">
        <f>'09'!E22</f>
        <v>113.31</v>
      </c>
      <c r="F22" s="329">
        <f>E22*40%</f>
        <v>45.32</v>
      </c>
      <c r="G22" s="433">
        <f>'09'!H22</f>
        <v>1.038165407</v>
      </c>
      <c r="H22" s="329">
        <f>F22*G22</f>
        <v>47.05</v>
      </c>
      <c r="I22" s="171">
        <f>'09'!J22</f>
        <v>35.03</v>
      </c>
      <c r="J22" s="172">
        <f>H22*I22%</f>
        <v>16.48</v>
      </c>
      <c r="K22" s="172">
        <f>H22+J22</f>
        <v>63.53</v>
      </c>
    </row>
    <row r="23" spans="1:11" ht="10.5" customHeight="1">
      <c r="A23" s="169">
        <f>'09'!A23</f>
        <v>39845</v>
      </c>
      <c r="B23" s="329">
        <f>'09'!B23</f>
        <v>1843.83</v>
      </c>
      <c r="C23" s="329">
        <v>0</v>
      </c>
      <c r="D23" s="329">
        <f aca="true" t="shared" si="0" ref="D23:D57">B23+C23</f>
        <v>1843.83</v>
      </c>
      <c r="E23" s="329">
        <f>'09'!E23</f>
        <v>147.51</v>
      </c>
      <c r="F23" s="329">
        <f aca="true" t="shared" si="1" ref="F23:F57">E23*40%</f>
        <v>59</v>
      </c>
      <c r="G23" s="433">
        <f>'09'!H23</f>
        <v>1.037697406</v>
      </c>
      <c r="H23" s="329">
        <f aca="true" t="shared" si="2" ref="H23:H57">F23*G23</f>
        <v>61.22</v>
      </c>
      <c r="I23" s="171">
        <f>'09'!J23</f>
        <v>35.03</v>
      </c>
      <c r="J23" s="172">
        <f aca="true" t="shared" si="3" ref="J23:J57">H23*I23%</f>
        <v>21.45</v>
      </c>
      <c r="K23" s="172">
        <f aca="true" t="shared" si="4" ref="K23:K57">H23+J23</f>
        <v>82.67</v>
      </c>
    </row>
    <row r="24" spans="1:11" ht="10.5" customHeight="1">
      <c r="A24" s="169">
        <f>'09'!A24</f>
        <v>39873</v>
      </c>
      <c r="B24" s="329">
        <f>'09'!B24</f>
        <v>1749.12</v>
      </c>
      <c r="C24" s="329">
        <v>0</v>
      </c>
      <c r="D24" s="329">
        <f t="shared" si="0"/>
        <v>1749.12</v>
      </c>
      <c r="E24" s="329">
        <f>'09'!E24</f>
        <v>139.93</v>
      </c>
      <c r="F24" s="329">
        <f t="shared" si="1"/>
        <v>55.97</v>
      </c>
      <c r="G24" s="433">
        <f>'09'!H24</f>
        <v>1.03620734</v>
      </c>
      <c r="H24" s="329">
        <f t="shared" si="2"/>
        <v>58</v>
      </c>
      <c r="I24" s="171">
        <f>'09'!J24</f>
        <v>35.03</v>
      </c>
      <c r="J24" s="172">
        <f t="shared" si="3"/>
        <v>20.32</v>
      </c>
      <c r="K24" s="172">
        <f t="shared" si="4"/>
        <v>78.32</v>
      </c>
    </row>
    <row r="25" spans="1:11" ht="10.5" customHeight="1">
      <c r="A25" s="169">
        <f>'09'!A25</f>
        <v>39904</v>
      </c>
      <c r="B25" s="329">
        <f>'09'!B25</f>
        <v>2638.29</v>
      </c>
      <c r="C25" s="329">
        <v>0</v>
      </c>
      <c r="D25" s="329">
        <f t="shared" si="0"/>
        <v>2638.29</v>
      </c>
      <c r="E25" s="329">
        <f>'09'!E25</f>
        <v>211.07</v>
      </c>
      <c r="F25" s="329">
        <f t="shared" si="1"/>
        <v>84.43</v>
      </c>
      <c r="G25" s="433">
        <f>'09'!H25</f>
        <v>1.035737115</v>
      </c>
      <c r="H25" s="329">
        <f t="shared" si="2"/>
        <v>87.45</v>
      </c>
      <c r="I25" s="171">
        <f>'09'!J25</f>
        <v>35.03</v>
      </c>
      <c r="J25" s="172">
        <f t="shared" si="3"/>
        <v>30.63</v>
      </c>
      <c r="K25" s="172">
        <f t="shared" si="4"/>
        <v>118.08</v>
      </c>
    </row>
    <row r="26" spans="1:11" ht="10.5" customHeight="1">
      <c r="A26" s="169">
        <f>'09'!A26</f>
        <v>39934</v>
      </c>
      <c r="B26" s="329">
        <f>'09'!B26</f>
        <v>2987.89</v>
      </c>
      <c r="C26" s="329">
        <v>0</v>
      </c>
      <c r="D26" s="329">
        <f t="shared" si="0"/>
        <v>2987.89</v>
      </c>
      <c r="E26" s="329">
        <f>'09'!E26</f>
        <v>239.04</v>
      </c>
      <c r="F26" s="329">
        <f t="shared" si="1"/>
        <v>95.62</v>
      </c>
      <c r="G26" s="433">
        <f>'09'!H26</f>
        <v>1.035272278</v>
      </c>
      <c r="H26" s="329">
        <f t="shared" si="2"/>
        <v>98.99</v>
      </c>
      <c r="I26" s="171">
        <f>'09'!J26</f>
        <v>35.03</v>
      </c>
      <c r="J26" s="172">
        <f t="shared" si="3"/>
        <v>34.68</v>
      </c>
      <c r="K26" s="172">
        <f t="shared" si="4"/>
        <v>133.67</v>
      </c>
    </row>
    <row r="27" spans="1:11" ht="10.5" customHeight="1">
      <c r="A27" s="169">
        <f>'09'!A27</f>
        <v>39965</v>
      </c>
      <c r="B27" s="329">
        <f>'09'!B27</f>
        <v>2496.87</v>
      </c>
      <c r="C27" s="329">
        <v>0</v>
      </c>
      <c r="D27" s="329">
        <f t="shared" si="0"/>
        <v>2496.87</v>
      </c>
      <c r="E27" s="329">
        <f>'09'!E27</f>
        <v>199.75</v>
      </c>
      <c r="F27" s="329">
        <f t="shared" si="1"/>
        <v>79.9</v>
      </c>
      <c r="G27" s="433">
        <f>'09'!H27</f>
        <v>1.034593584</v>
      </c>
      <c r="H27" s="329">
        <f t="shared" si="2"/>
        <v>82.66</v>
      </c>
      <c r="I27" s="171">
        <f>'09'!J27</f>
        <v>35.03</v>
      </c>
      <c r="J27" s="172">
        <f t="shared" si="3"/>
        <v>28.96</v>
      </c>
      <c r="K27" s="172">
        <f t="shared" si="4"/>
        <v>111.62</v>
      </c>
    </row>
    <row r="28" spans="1:11" ht="10.5" customHeight="1">
      <c r="A28" s="169">
        <f>'09'!A28</f>
        <v>39995</v>
      </c>
      <c r="B28" s="329">
        <f>'09'!B28</f>
        <v>2542.69</v>
      </c>
      <c r="C28" s="329">
        <v>0</v>
      </c>
      <c r="D28" s="329">
        <f t="shared" si="0"/>
        <v>2542.69</v>
      </c>
      <c r="E28" s="329">
        <f>'09'!E28</f>
        <v>203.42</v>
      </c>
      <c r="F28" s="329">
        <f t="shared" si="1"/>
        <v>81.37</v>
      </c>
      <c r="G28" s="433">
        <f>'09'!H28</f>
        <v>1.033507368</v>
      </c>
      <c r="H28" s="329">
        <f t="shared" si="2"/>
        <v>84.1</v>
      </c>
      <c r="I28" s="171">
        <f>'09'!J28</f>
        <v>35.03</v>
      </c>
      <c r="J28" s="172">
        <f t="shared" si="3"/>
        <v>29.46</v>
      </c>
      <c r="K28" s="172">
        <f t="shared" si="4"/>
        <v>113.56</v>
      </c>
    </row>
    <row r="29" spans="1:11" ht="10.5" customHeight="1">
      <c r="A29" s="169">
        <f>'09'!A29</f>
        <v>40026</v>
      </c>
      <c r="B29" s="329">
        <f>'09'!B29</f>
        <v>2684.77</v>
      </c>
      <c r="C29" s="329">
        <v>0</v>
      </c>
      <c r="D29" s="329">
        <f t="shared" si="0"/>
        <v>2684.77</v>
      </c>
      <c r="E29" s="329">
        <f>'09'!E29</f>
        <v>214.78</v>
      </c>
      <c r="F29" s="329">
        <f t="shared" si="1"/>
        <v>85.91</v>
      </c>
      <c r="G29" s="433">
        <f>'09'!H29</f>
        <v>1.033303807</v>
      </c>
      <c r="H29" s="329">
        <f t="shared" si="2"/>
        <v>88.77</v>
      </c>
      <c r="I29" s="171">
        <f>'09'!J29</f>
        <v>35.03</v>
      </c>
      <c r="J29" s="172">
        <f t="shared" si="3"/>
        <v>31.1</v>
      </c>
      <c r="K29" s="172">
        <f t="shared" si="4"/>
        <v>119.87</v>
      </c>
    </row>
    <row r="30" spans="1:11" ht="10.5" customHeight="1">
      <c r="A30" s="169">
        <f>'09'!A30</f>
        <v>40057</v>
      </c>
      <c r="B30" s="329">
        <f>'09'!B30</f>
        <v>3225.99</v>
      </c>
      <c r="C30" s="329">
        <v>0</v>
      </c>
      <c r="D30" s="329">
        <f t="shared" si="0"/>
        <v>3225.99</v>
      </c>
      <c r="E30" s="329">
        <f>'09'!E30</f>
        <v>258.07</v>
      </c>
      <c r="F30" s="329">
        <f t="shared" si="1"/>
        <v>103.23</v>
      </c>
      <c r="G30" s="433">
        <f>'09'!H30</f>
        <v>1.033303807</v>
      </c>
      <c r="H30" s="329">
        <f t="shared" si="2"/>
        <v>106.67</v>
      </c>
      <c r="I30" s="171">
        <f>'09'!J30</f>
        <v>35.03</v>
      </c>
      <c r="J30" s="172">
        <f t="shared" si="3"/>
        <v>37.37</v>
      </c>
      <c r="K30" s="172">
        <f t="shared" si="4"/>
        <v>144.04</v>
      </c>
    </row>
    <row r="31" spans="1:11" ht="10.5" customHeight="1">
      <c r="A31" s="169">
        <f>'09'!A31</f>
        <v>40087</v>
      </c>
      <c r="B31" s="329">
        <f>'09'!B31</f>
        <v>1985.49</v>
      </c>
      <c r="C31" s="329">
        <v>0</v>
      </c>
      <c r="D31" s="329">
        <f t="shared" si="0"/>
        <v>1985.49</v>
      </c>
      <c r="E31" s="329">
        <f>'09'!E31</f>
        <v>158.83</v>
      </c>
      <c r="F31" s="329">
        <f t="shared" si="1"/>
        <v>63.53</v>
      </c>
      <c r="G31" s="433">
        <f>'09'!H31</f>
        <v>1.033303807</v>
      </c>
      <c r="H31" s="329">
        <f t="shared" si="2"/>
        <v>65.65</v>
      </c>
      <c r="I31" s="171">
        <f>'09'!J31</f>
        <v>35.03</v>
      </c>
      <c r="J31" s="172">
        <f t="shared" si="3"/>
        <v>23</v>
      </c>
      <c r="K31" s="172">
        <f t="shared" si="4"/>
        <v>88.65</v>
      </c>
    </row>
    <row r="32" spans="1:11" ht="10.5" customHeight="1">
      <c r="A32" s="169">
        <f>'09'!A32</f>
        <v>40118</v>
      </c>
      <c r="B32" s="329">
        <f>'09'!B32</f>
        <v>2976.05</v>
      </c>
      <c r="C32" s="329">
        <v>0</v>
      </c>
      <c r="D32" s="329">
        <f t="shared" si="0"/>
        <v>2976.05</v>
      </c>
      <c r="E32" s="329">
        <f>'09'!E32</f>
        <v>238.08</v>
      </c>
      <c r="F32" s="329">
        <f t="shared" si="1"/>
        <v>95.23</v>
      </c>
      <c r="G32" s="433">
        <f>'09'!H32</f>
        <v>1.033303807</v>
      </c>
      <c r="H32" s="329">
        <f t="shared" si="2"/>
        <v>98.4</v>
      </c>
      <c r="I32" s="171">
        <f>'09'!J32</f>
        <v>35.03</v>
      </c>
      <c r="J32" s="172">
        <f t="shared" si="3"/>
        <v>34.47</v>
      </c>
      <c r="K32" s="172">
        <f t="shared" si="4"/>
        <v>132.87</v>
      </c>
    </row>
    <row r="33" spans="1:11" ht="10.5" customHeight="1">
      <c r="A33" s="169" t="str">
        <f>'09'!A33</f>
        <v>1ª Parc.13º</v>
      </c>
      <c r="B33" s="329">
        <f>'09'!B33</f>
        <v>1231.25</v>
      </c>
      <c r="C33" s="329"/>
      <c r="D33" s="329">
        <f t="shared" si="0"/>
        <v>1231.25</v>
      </c>
      <c r="E33" s="329">
        <f>'09'!E33</f>
        <v>98.5</v>
      </c>
      <c r="F33" s="329">
        <f t="shared" si="1"/>
        <v>39.4</v>
      </c>
      <c r="G33" s="433">
        <f>'09'!H33</f>
        <v>1.033303807</v>
      </c>
      <c r="H33" s="329">
        <f t="shared" si="2"/>
        <v>40.71</v>
      </c>
      <c r="I33" s="171">
        <f>'09'!J33</f>
        <v>35.03</v>
      </c>
      <c r="J33" s="172">
        <f t="shared" si="3"/>
        <v>14.26</v>
      </c>
      <c r="K33" s="172">
        <f t="shared" si="4"/>
        <v>54.97</v>
      </c>
    </row>
    <row r="34" spans="1:11" ht="10.5" customHeight="1">
      <c r="A34" s="169">
        <f>'09'!A34</f>
        <v>40148</v>
      </c>
      <c r="B34" s="329">
        <f>'09'!B34</f>
        <v>2503.28</v>
      </c>
      <c r="C34" s="329">
        <v>0</v>
      </c>
      <c r="D34" s="329">
        <f t="shared" si="0"/>
        <v>2503.28</v>
      </c>
      <c r="E34" s="329">
        <f>'09'!E34</f>
        <v>200.27</v>
      </c>
      <c r="F34" s="329">
        <f t="shared" si="1"/>
        <v>80.11</v>
      </c>
      <c r="G34" s="433">
        <f>'09'!H34</f>
        <v>1.03275335</v>
      </c>
      <c r="H34" s="329">
        <f t="shared" si="2"/>
        <v>82.73</v>
      </c>
      <c r="I34" s="171">
        <f>'09'!J34</f>
        <v>35.03</v>
      </c>
      <c r="J34" s="172">
        <f t="shared" si="3"/>
        <v>28.98</v>
      </c>
      <c r="K34" s="172">
        <f t="shared" si="4"/>
        <v>111.71</v>
      </c>
    </row>
    <row r="35" spans="1:11" ht="10.5" customHeight="1">
      <c r="A35" s="169" t="str">
        <f>'09'!A35</f>
        <v>2ª Parc. 13º</v>
      </c>
      <c r="B35" s="329">
        <f>'09'!B35</f>
        <v>1493.74</v>
      </c>
      <c r="C35" s="329"/>
      <c r="D35" s="329">
        <f t="shared" si="0"/>
        <v>1493.74</v>
      </c>
      <c r="E35" s="329">
        <f>'09'!E35</f>
        <v>119.5</v>
      </c>
      <c r="F35" s="329">
        <f t="shared" si="1"/>
        <v>47.8</v>
      </c>
      <c r="G35" s="433">
        <f>'09'!H35</f>
        <v>1.03275335</v>
      </c>
      <c r="H35" s="329">
        <f t="shared" si="2"/>
        <v>49.37</v>
      </c>
      <c r="I35" s="171">
        <f>'09'!J35</f>
        <v>35.03</v>
      </c>
      <c r="J35" s="172">
        <f t="shared" si="3"/>
        <v>17.29</v>
      </c>
      <c r="K35" s="172">
        <f t="shared" si="4"/>
        <v>66.66</v>
      </c>
    </row>
    <row r="36" spans="1:13" ht="10.5" customHeight="1">
      <c r="A36" s="169">
        <f>'09'!A36</f>
        <v>40179</v>
      </c>
      <c r="B36" s="329">
        <f>'09'!B36</f>
        <v>2506.02</v>
      </c>
      <c r="C36" s="329">
        <v>0</v>
      </c>
      <c r="D36" s="329">
        <f t="shared" si="0"/>
        <v>2506.02</v>
      </c>
      <c r="E36" s="329">
        <f>'09'!E36</f>
        <v>200.48</v>
      </c>
      <c r="F36" s="329">
        <f t="shared" si="1"/>
        <v>80.19</v>
      </c>
      <c r="G36" s="433">
        <f>'09'!H36</f>
        <v>1.03275335</v>
      </c>
      <c r="H36" s="329">
        <f t="shared" si="2"/>
        <v>82.82</v>
      </c>
      <c r="I36" s="171">
        <f>'09'!J36</f>
        <v>35.03</v>
      </c>
      <c r="J36" s="172">
        <f t="shared" si="3"/>
        <v>29.01</v>
      </c>
      <c r="K36" s="172">
        <f t="shared" si="4"/>
        <v>111.83</v>
      </c>
      <c r="M36" s="462"/>
    </row>
    <row r="37" spans="1:11" ht="10.5" customHeight="1">
      <c r="A37" s="169">
        <f>'09'!A37</f>
        <v>40210</v>
      </c>
      <c r="B37" s="329">
        <f>'09'!B37</f>
        <v>2738.12</v>
      </c>
      <c r="C37" s="329">
        <v>0</v>
      </c>
      <c r="D37" s="329">
        <f t="shared" si="0"/>
        <v>2738.12</v>
      </c>
      <c r="E37" s="329">
        <f>'09'!E37</f>
        <v>219.05</v>
      </c>
      <c r="F37" s="329">
        <f t="shared" si="1"/>
        <v>87.62</v>
      </c>
      <c r="G37" s="433">
        <f>'09'!H37</f>
        <v>1.03275335</v>
      </c>
      <c r="H37" s="329">
        <f t="shared" si="2"/>
        <v>90.49</v>
      </c>
      <c r="I37" s="171">
        <f>'09'!J37</f>
        <v>35.03</v>
      </c>
      <c r="J37" s="172">
        <f t="shared" si="3"/>
        <v>31.7</v>
      </c>
      <c r="K37" s="172">
        <f t="shared" si="4"/>
        <v>122.19</v>
      </c>
    </row>
    <row r="38" spans="1:11" ht="10.5" customHeight="1">
      <c r="A38" s="169">
        <f>'09'!A38</f>
        <v>40238</v>
      </c>
      <c r="B38" s="329">
        <f>'09'!B38</f>
        <v>2554.98</v>
      </c>
      <c r="C38" s="329">
        <v>0</v>
      </c>
      <c r="D38" s="329">
        <f t="shared" si="0"/>
        <v>2554.98</v>
      </c>
      <c r="E38" s="329">
        <f>'09'!E38</f>
        <v>204.4</v>
      </c>
      <c r="F38" s="329">
        <f t="shared" si="1"/>
        <v>81.76</v>
      </c>
      <c r="G38" s="433">
        <f>'09'!H38</f>
        <v>1.031936056</v>
      </c>
      <c r="H38" s="329">
        <f t="shared" si="2"/>
        <v>84.37</v>
      </c>
      <c r="I38" s="171">
        <f>'09'!J38</f>
        <v>35.03</v>
      </c>
      <c r="J38" s="172">
        <f t="shared" si="3"/>
        <v>29.55</v>
      </c>
      <c r="K38" s="172">
        <f t="shared" si="4"/>
        <v>113.92</v>
      </c>
    </row>
    <row r="39" spans="1:11" ht="10.5" customHeight="1">
      <c r="A39" s="169">
        <f>'09'!A39</f>
        <v>40269</v>
      </c>
      <c r="B39" s="329">
        <f>'09'!B39</f>
        <v>2773.23</v>
      </c>
      <c r="C39" s="329">
        <v>0</v>
      </c>
      <c r="D39" s="329">
        <f t="shared" si="0"/>
        <v>2773.23</v>
      </c>
      <c r="E39" s="329">
        <f>'09'!E39</f>
        <v>221.86</v>
      </c>
      <c r="F39" s="329">
        <f t="shared" si="1"/>
        <v>88.74</v>
      </c>
      <c r="G39" s="433">
        <f>'09'!H39</f>
        <v>1.031936056</v>
      </c>
      <c r="H39" s="329">
        <f t="shared" si="2"/>
        <v>91.57</v>
      </c>
      <c r="I39" s="171">
        <f>'09'!J39</f>
        <v>35.03</v>
      </c>
      <c r="J39" s="172">
        <f t="shared" si="3"/>
        <v>32.08</v>
      </c>
      <c r="K39" s="172">
        <f t="shared" si="4"/>
        <v>123.65</v>
      </c>
    </row>
    <row r="40" spans="1:11" ht="10.5" customHeight="1">
      <c r="A40" s="169">
        <f>'09'!A40</f>
        <v>40299</v>
      </c>
      <c r="B40" s="329">
        <f>'09'!B40</f>
        <v>3514.25</v>
      </c>
      <c r="C40" s="329">
        <v>0</v>
      </c>
      <c r="D40" s="329">
        <f t="shared" si="0"/>
        <v>3514.25</v>
      </c>
      <c r="E40" s="329">
        <f>'09'!E40</f>
        <v>281.14</v>
      </c>
      <c r="F40" s="329">
        <f t="shared" si="1"/>
        <v>112.46</v>
      </c>
      <c r="G40" s="433">
        <f>'09'!H40</f>
        <v>1.031410037</v>
      </c>
      <c r="H40" s="329">
        <f t="shared" si="2"/>
        <v>115.99</v>
      </c>
      <c r="I40" s="171">
        <f>'09'!J40</f>
        <v>35.03</v>
      </c>
      <c r="J40" s="172">
        <f t="shared" si="3"/>
        <v>40.63</v>
      </c>
      <c r="K40" s="172">
        <f t="shared" si="4"/>
        <v>156.62</v>
      </c>
    </row>
    <row r="41" spans="1:11" ht="10.5" customHeight="1">
      <c r="A41" s="169">
        <f>'09'!A41</f>
        <v>40330</v>
      </c>
      <c r="B41" s="329">
        <f>'09'!B41</f>
        <v>2684.8</v>
      </c>
      <c r="C41" s="329">
        <v>0</v>
      </c>
      <c r="D41" s="329">
        <f t="shared" si="0"/>
        <v>2684.8</v>
      </c>
      <c r="E41" s="329">
        <f>'09'!E41</f>
        <v>214.78</v>
      </c>
      <c r="F41" s="329">
        <f t="shared" si="1"/>
        <v>85.91</v>
      </c>
      <c r="G41" s="433">
        <f>'09'!H41</f>
        <v>1.030802894</v>
      </c>
      <c r="H41" s="329">
        <f t="shared" si="2"/>
        <v>88.56</v>
      </c>
      <c r="I41" s="171">
        <f>'09'!J41</f>
        <v>35.03</v>
      </c>
      <c r="J41" s="172">
        <f t="shared" si="3"/>
        <v>31.02</v>
      </c>
      <c r="K41" s="172">
        <f t="shared" si="4"/>
        <v>119.58</v>
      </c>
    </row>
    <row r="42" spans="1:11" ht="10.5" customHeight="1">
      <c r="A42" s="169">
        <f>'09'!A42</f>
        <v>40360</v>
      </c>
      <c r="B42" s="329">
        <f>'09'!B42</f>
        <v>3116.53</v>
      </c>
      <c r="C42" s="329">
        <v>0</v>
      </c>
      <c r="D42" s="329">
        <f t="shared" si="0"/>
        <v>3116.53</v>
      </c>
      <c r="E42" s="329">
        <f>'09'!E42</f>
        <v>249.33</v>
      </c>
      <c r="F42" s="329">
        <f t="shared" si="1"/>
        <v>99.73</v>
      </c>
      <c r="G42" s="433">
        <f>'09'!H42</f>
        <v>1.029617804</v>
      </c>
      <c r="H42" s="329">
        <f t="shared" si="2"/>
        <v>102.68</v>
      </c>
      <c r="I42" s="171">
        <f>'09'!J42</f>
        <v>35.03</v>
      </c>
      <c r="J42" s="172">
        <f t="shared" si="3"/>
        <v>35.97</v>
      </c>
      <c r="K42" s="172">
        <f t="shared" si="4"/>
        <v>138.65</v>
      </c>
    </row>
    <row r="43" spans="1:11" ht="10.5" customHeight="1">
      <c r="A43" s="169">
        <f>'09'!A43</f>
        <v>40391</v>
      </c>
      <c r="B43" s="329">
        <f>'09'!B43</f>
        <v>3451.84</v>
      </c>
      <c r="C43" s="329">
        <v>0</v>
      </c>
      <c r="D43" s="329">
        <f t="shared" si="0"/>
        <v>3451.84</v>
      </c>
      <c r="E43" s="329">
        <f>'09'!E43</f>
        <v>276.15</v>
      </c>
      <c r="F43" s="329">
        <f t="shared" si="1"/>
        <v>110.46</v>
      </c>
      <c r="G43" s="433">
        <f>'09'!H43</f>
        <v>1.028682732</v>
      </c>
      <c r="H43" s="329">
        <f t="shared" si="2"/>
        <v>113.63</v>
      </c>
      <c r="I43" s="171">
        <f>'09'!J43</f>
        <v>35.03</v>
      </c>
      <c r="J43" s="172">
        <f t="shared" si="3"/>
        <v>39.8</v>
      </c>
      <c r="K43" s="172">
        <f t="shared" si="4"/>
        <v>153.43</v>
      </c>
    </row>
    <row r="44" spans="1:11" ht="10.5" customHeight="1">
      <c r="A44" s="169">
        <f>'09'!A44</f>
        <v>40422</v>
      </c>
      <c r="B44" s="329">
        <f>'09'!B44</f>
        <v>3423.84</v>
      </c>
      <c r="C44" s="329">
        <v>0</v>
      </c>
      <c r="D44" s="329">
        <f t="shared" si="0"/>
        <v>3423.84</v>
      </c>
      <c r="E44" s="329">
        <f>'09'!E44</f>
        <v>273.91</v>
      </c>
      <c r="F44" s="329">
        <f t="shared" si="1"/>
        <v>109.56</v>
      </c>
      <c r="G44" s="433">
        <f>'09'!H44</f>
        <v>1.027961103</v>
      </c>
      <c r="H44" s="329">
        <f t="shared" si="2"/>
        <v>112.62</v>
      </c>
      <c r="I44" s="171">
        <f>'09'!J44</f>
        <v>35.03</v>
      </c>
      <c r="J44" s="172">
        <f t="shared" si="3"/>
        <v>39.45</v>
      </c>
      <c r="K44" s="172">
        <f t="shared" si="4"/>
        <v>152.07</v>
      </c>
    </row>
    <row r="45" spans="1:14" ht="10.5" customHeight="1">
      <c r="A45" s="169">
        <f>'09'!A45</f>
        <v>40452</v>
      </c>
      <c r="B45" s="329">
        <f>'09'!B45</f>
        <v>3098.48</v>
      </c>
      <c r="C45" s="329">
        <v>0</v>
      </c>
      <c r="D45" s="329">
        <f t="shared" si="0"/>
        <v>3098.48</v>
      </c>
      <c r="E45" s="329">
        <f>'09'!E45</f>
        <v>247.88</v>
      </c>
      <c r="F45" s="329">
        <f t="shared" si="1"/>
        <v>99.15</v>
      </c>
      <c r="G45" s="433">
        <f>'09'!H45</f>
        <v>1.027476134</v>
      </c>
      <c r="H45" s="329">
        <f t="shared" si="2"/>
        <v>101.87</v>
      </c>
      <c r="I45" s="171">
        <f>'09'!J45</f>
        <v>35.03</v>
      </c>
      <c r="J45" s="172">
        <f t="shared" si="3"/>
        <v>35.69</v>
      </c>
      <c r="K45" s="172">
        <f t="shared" si="4"/>
        <v>137.56</v>
      </c>
      <c r="N45" s="173"/>
    </row>
    <row r="46" spans="1:11" ht="10.5" customHeight="1">
      <c r="A46" s="169">
        <f>'09'!A46</f>
        <v>40483</v>
      </c>
      <c r="B46" s="329">
        <f>'09'!B46</f>
        <v>2712.32</v>
      </c>
      <c r="C46" s="329">
        <v>0</v>
      </c>
      <c r="D46" s="329">
        <f t="shared" si="0"/>
        <v>2712.32</v>
      </c>
      <c r="E46" s="329">
        <f>'09'!E46</f>
        <v>216.98</v>
      </c>
      <c r="F46" s="329">
        <f t="shared" si="1"/>
        <v>86.79</v>
      </c>
      <c r="G46" s="433">
        <f>'09'!H46</f>
        <v>1.027131018</v>
      </c>
      <c r="H46" s="329">
        <f t="shared" si="2"/>
        <v>89.14</v>
      </c>
      <c r="I46" s="171">
        <f>'09'!J46</f>
        <v>35.03</v>
      </c>
      <c r="J46" s="172">
        <f t="shared" si="3"/>
        <v>31.23</v>
      </c>
      <c r="K46" s="172">
        <f t="shared" si="4"/>
        <v>120.37</v>
      </c>
    </row>
    <row r="47" spans="1:11" ht="10.5" customHeight="1">
      <c r="A47" s="169" t="str">
        <f>'09'!A47</f>
        <v>1ª Parc.13º</v>
      </c>
      <c r="B47" s="329">
        <f>'09'!B47</f>
        <v>915.2</v>
      </c>
      <c r="C47" s="329"/>
      <c r="D47" s="329">
        <f t="shared" si="0"/>
        <v>915.2</v>
      </c>
      <c r="E47" s="329">
        <f>'09'!E47</f>
        <v>73.22</v>
      </c>
      <c r="F47" s="329">
        <f t="shared" si="1"/>
        <v>29.29</v>
      </c>
      <c r="G47" s="433">
        <f>'09'!H47</f>
        <v>1.027131018</v>
      </c>
      <c r="H47" s="329">
        <f t="shared" si="2"/>
        <v>30.08</v>
      </c>
      <c r="I47" s="171">
        <f>'09'!J47</f>
        <v>35.03</v>
      </c>
      <c r="J47" s="172">
        <f t="shared" si="3"/>
        <v>10.54</v>
      </c>
      <c r="K47" s="172">
        <f t="shared" si="4"/>
        <v>40.62</v>
      </c>
    </row>
    <row r="48" spans="1:11" ht="10.5" customHeight="1">
      <c r="A48" s="169">
        <f>'09'!A48</f>
        <v>40513</v>
      </c>
      <c r="B48" s="329">
        <f>'09'!B48</f>
        <v>3093.73</v>
      </c>
      <c r="C48" s="329">
        <v>0</v>
      </c>
      <c r="D48" s="329">
        <f t="shared" si="0"/>
        <v>3093.73</v>
      </c>
      <c r="E48" s="329">
        <f>'09'!E48</f>
        <v>247.5</v>
      </c>
      <c r="F48" s="329">
        <f t="shared" si="1"/>
        <v>99</v>
      </c>
      <c r="G48" s="433">
        <f>'09'!H48</f>
        <v>1.0256889</v>
      </c>
      <c r="H48" s="329">
        <f t="shared" si="2"/>
        <v>101.54</v>
      </c>
      <c r="I48" s="171">
        <f>'09'!J48</f>
        <v>35.03</v>
      </c>
      <c r="J48" s="172">
        <f t="shared" si="3"/>
        <v>35.57</v>
      </c>
      <c r="K48" s="172">
        <f t="shared" si="4"/>
        <v>137.11</v>
      </c>
    </row>
    <row r="49" spans="1:11" ht="10.5" customHeight="1">
      <c r="A49" s="169" t="str">
        <f>'09'!A49</f>
        <v>2ª Parc. 13º</v>
      </c>
      <c r="B49" s="329">
        <f>'09'!B49</f>
        <v>915.2</v>
      </c>
      <c r="C49" s="329"/>
      <c r="D49" s="329">
        <f t="shared" si="0"/>
        <v>915.2</v>
      </c>
      <c r="E49" s="329">
        <f>'09'!E49</f>
        <v>73.22</v>
      </c>
      <c r="F49" s="329">
        <f t="shared" si="1"/>
        <v>29.29</v>
      </c>
      <c r="G49" s="433">
        <f>'09'!H49</f>
        <v>1.0256889</v>
      </c>
      <c r="H49" s="329">
        <f t="shared" si="2"/>
        <v>30.04</v>
      </c>
      <c r="I49" s="171">
        <f>'09'!J49</f>
        <v>35.03</v>
      </c>
      <c r="J49" s="172">
        <f t="shared" si="3"/>
        <v>10.52</v>
      </c>
      <c r="K49" s="172">
        <f t="shared" si="4"/>
        <v>40.56</v>
      </c>
    </row>
    <row r="50" spans="1:11" ht="10.5" customHeight="1">
      <c r="A50" s="169">
        <f>'09'!A50</f>
        <v>40544</v>
      </c>
      <c r="B50" s="329">
        <f>'09'!B50</f>
        <v>2572.32</v>
      </c>
      <c r="C50" s="329">
        <v>0</v>
      </c>
      <c r="D50" s="329">
        <f t="shared" si="0"/>
        <v>2572.32</v>
      </c>
      <c r="E50" s="329">
        <f>'09'!E50</f>
        <v>205.78</v>
      </c>
      <c r="F50" s="329">
        <f t="shared" si="1"/>
        <v>82.31</v>
      </c>
      <c r="G50" s="433">
        <f>'09'!H50</f>
        <v>1.024956056</v>
      </c>
      <c r="H50" s="329">
        <f t="shared" si="2"/>
        <v>84.36</v>
      </c>
      <c r="I50" s="171">
        <f>'09'!J50</f>
        <v>35.03</v>
      </c>
      <c r="J50" s="172">
        <f t="shared" si="3"/>
        <v>29.55</v>
      </c>
      <c r="K50" s="172">
        <f t="shared" si="4"/>
        <v>113.91</v>
      </c>
    </row>
    <row r="51" spans="1:11" ht="10.5" customHeight="1">
      <c r="A51" s="169">
        <f>'09'!A51</f>
        <v>40575</v>
      </c>
      <c r="B51" s="329">
        <f>'09'!B51</f>
        <v>1945.49</v>
      </c>
      <c r="C51" s="329">
        <v>0</v>
      </c>
      <c r="D51" s="329">
        <f t="shared" si="0"/>
        <v>1945.49</v>
      </c>
      <c r="E51" s="329">
        <f>'09'!E51</f>
        <v>155.63</v>
      </c>
      <c r="F51" s="329">
        <f t="shared" si="1"/>
        <v>62.25</v>
      </c>
      <c r="G51" s="433">
        <f>'09'!H51</f>
        <v>1.02441926</v>
      </c>
      <c r="H51" s="329">
        <f t="shared" si="2"/>
        <v>63.77</v>
      </c>
      <c r="I51" s="171">
        <f>'09'!J51</f>
        <v>35.03</v>
      </c>
      <c r="J51" s="172">
        <f t="shared" si="3"/>
        <v>22.34</v>
      </c>
      <c r="K51" s="172">
        <f t="shared" si="4"/>
        <v>86.11</v>
      </c>
    </row>
    <row r="52" spans="1:13" s="326" customFormat="1" ht="10.5" customHeight="1">
      <c r="A52" s="169">
        <f>'09'!A52</f>
        <v>40603</v>
      </c>
      <c r="B52" s="329">
        <f>'09'!B52</f>
        <v>2024.43</v>
      </c>
      <c r="C52" s="329">
        <v>0</v>
      </c>
      <c r="D52" s="329">
        <f t="shared" si="0"/>
        <v>2024.43</v>
      </c>
      <c r="E52" s="329">
        <f>'09'!E52</f>
        <v>161.95</v>
      </c>
      <c r="F52" s="329">
        <f t="shared" si="1"/>
        <v>64.78</v>
      </c>
      <c r="G52" s="433">
        <f>'09'!H52</f>
        <v>1.023179167</v>
      </c>
      <c r="H52" s="329">
        <f t="shared" si="2"/>
        <v>66.28</v>
      </c>
      <c r="I52" s="171">
        <f>'09'!J52</f>
        <v>35.03</v>
      </c>
      <c r="J52" s="172">
        <f t="shared" si="3"/>
        <v>23.22</v>
      </c>
      <c r="K52" s="172">
        <f t="shared" si="4"/>
        <v>89.5</v>
      </c>
      <c r="M52" s="327"/>
    </row>
    <row r="53" spans="1:13" s="326" customFormat="1" ht="10.5" customHeight="1">
      <c r="A53" s="169">
        <f>'09'!A53</f>
        <v>40634</v>
      </c>
      <c r="B53" s="329">
        <f>'09'!B53</f>
        <v>976.21</v>
      </c>
      <c r="C53" s="329">
        <v>0</v>
      </c>
      <c r="D53" s="329">
        <f t="shared" si="0"/>
        <v>976.21</v>
      </c>
      <c r="E53" s="329">
        <f>'09'!E53</f>
        <v>78.1</v>
      </c>
      <c r="F53" s="329">
        <f t="shared" si="1"/>
        <v>31.24</v>
      </c>
      <c r="G53" s="433">
        <f>'09'!H53</f>
        <v>1.022801753</v>
      </c>
      <c r="H53" s="329">
        <f t="shared" si="2"/>
        <v>31.95</v>
      </c>
      <c r="I53" s="171">
        <f>'09'!J53</f>
        <v>35.03</v>
      </c>
      <c r="J53" s="172">
        <f t="shared" si="3"/>
        <v>11.19</v>
      </c>
      <c r="K53" s="172">
        <f t="shared" si="4"/>
        <v>43.14</v>
      </c>
      <c r="M53" s="327"/>
    </row>
    <row r="54" spans="1:13" s="326" customFormat="1" ht="10.5" customHeight="1">
      <c r="A54" s="169">
        <f>'09'!A54</f>
        <v>40664</v>
      </c>
      <c r="B54" s="329">
        <f>'09'!B54</f>
        <v>2075.56</v>
      </c>
      <c r="C54" s="329">
        <v>0</v>
      </c>
      <c r="D54" s="329">
        <f t="shared" si="0"/>
        <v>2075.56</v>
      </c>
      <c r="E54" s="329">
        <f>'09'!E54</f>
        <v>166.04</v>
      </c>
      <c r="F54" s="329">
        <f t="shared" si="1"/>
        <v>66.42</v>
      </c>
      <c r="G54" s="433">
        <f>'09'!H54</f>
        <v>1.021198472</v>
      </c>
      <c r="H54" s="329">
        <f t="shared" si="2"/>
        <v>67.83</v>
      </c>
      <c r="I54" s="171">
        <f>'09'!J54</f>
        <v>35.03</v>
      </c>
      <c r="J54" s="172">
        <f t="shared" si="3"/>
        <v>23.76</v>
      </c>
      <c r="K54" s="172">
        <f t="shared" si="4"/>
        <v>91.59</v>
      </c>
      <c r="M54" s="327"/>
    </row>
    <row r="55" spans="1:11" ht="10.5" customHeight="1">
      <c r="A55" s="169">
        <f>'09'!A55</f>
        <v>40695</v>
      </c>
      <c r="B55" s="329">
        <f>'09'!B55</f>
        <v>468.67</v>
      </c>
      <c r="C55" s="329">
        <v>2053.24</v>
      </c>
      <c r="D55" s="329">
        <f t="shared" si="0"/>
        <v>2521.91</v>
      </c>
      <c r="E55" s="329">
        <f>'09'!E55</f>
        <v>201.75</v>
      </c>
      <c r="F55" s="329">
        <f t="shared" si="1"/>
        <v>80.7</v>
      </c>
      <c r="G55" s="433">
        <f>'09'!H55</f>
        <v>1.020062123</v>
      </c>
      <c r="H55" s="329">
        <f t="shared" si="2"/>
        <v>82.32</v>
      </c>
      <c r="I55" s="171">
        <f>'09'!J55</f>
        <v>35.03</v>
      </c>
      <c r="J55" s="172">
        <f t="shared" si="3"/>
        <v>28.84</v>
      </c>
      <c r="K55" s="172">
        <f t="shared" si="4"/>
        <v>111.16</v>
      </c>
    </row>
    <row r="56" spans="1:11" ht="10.5" customHeight="1">
      <c r="A56" s="169">
        <f>'09'!A56</f>
        <v>40725</v>
      </c>
      <c r="B56" s="329">
        <f>'09'!B56</f>
        <v>1339.07</v>
      </c>
      <c r="C56" s="329">
        <v>624.89</v>
      </c>
      <c r="D56" s="329">
        <f t="shared" si="0"/>
        <v>1963.96</v>
      </c>
      <c r="E56" s="329">
        <f>'09'!E56</f>
        <v>157.12</v>
      </c>
      <c r="F56" s="329">
        <f t="shared" si="1"/>
        <v>62.85</v>
      </c>
      <c r="G56" s="433">
        <f>'09'!H56</f>
        <v>1.018810005</v>
      </c>
      <c r="H56" s="329">
        <f t="shared" si="2"/>
        <v>64.03</v>
      </c>
      <c r="I56" s="171">
        <f>'09'!J56</f>
        <v>35.03</v>
      </c>
      <c r="J56" s="172">
        <f t="shared" si="3"/>
        <v>22.43</v>
      </c>
      <c r="K56" s="172">
        <f t="shared" si="4"/>
        <v>86.46</v>
      </c>
    </row>
    <row r="57" spans="1:11" ht="10.5" customHeight="1">
      <c r="A57" s="169">
        <f>'09'!A57</f>
        <v>40756</v>
      </c>
      <c r="B57" s="329">
        <f>'09'!B57</f>
        <v>0</v>
      </c>
      <c r="C57" s="329">
        <v>0</v>
      </c>
      <c r="D57" s="329">
        <f t="shared" si="0"/>
        <v>0</v>
      </c>
      <c r="E57" s="329">
        <f>'09'!E57</f>
        <v>0</v>
      </c>
      <c r="F57" s="329">
        <f t="shared" si="1"/>
        <v>0</v>
      </c>
      <c r="G57" s="433">
        <f>'09'!H57</f>
        <v>1.016699337</v>
      </c>
      <c r="H57" s="329">
        <f t="shared" si="2"/>
        <v>0</v>
      </c>
      <c r="I57" s="171">
        <f>'09'!J57</f>
        <v>35.03</v>
      </c>
      <c r="J57" s="172">
        <f t="shared" si="3"/>
        <v>0</v>
      </c>
      <c r="K57" s="172">
        <f t="shared" si="4"/>
        <v>0</v>
      </c>
    </row>
    <row r="59" spans="2:11" ht="10.5">
      <c r="B59" s="284">
        <f>SUM(B22:B57)</f>
        <v>80675.92</v>
      </c>
      <c r="C59" s="284">
        <f>SUM(C22:C57)</f>
        <v>2678.13</v>
      </c>
      <c r="D59" s="284">
        <f>SUM(D22:D57)</f>
        <v>83354.05</v>
      </c>
      <c r="E59" s="284">
        <f>SUM(E22:E57)</f>
        <v>6668.33</v>
      </c>
      <c r="F59" s="284">
        <f>SUM(F22:F57)</f>
        <v>2667.32</v>
      </c>
      <c r="H59" s="284">
        <f>SUM(H22:H57)</f>
        <v>2747.71</v>
      </c>
      <c r="J59" s="284">
        <f>SUM(J22:J57)</f>
        <v>962.54</v>
      </c>
      <c r="K59" s="284">
        <f>SUM(K22:K57)</f>
        <v>3710.25</v>
      </c>
    </row>
    <row r="61" spans="2:3" ht="10.5">
      <c r="B61" s="65"/>
      <c r="C61" s="65"/>
    </row>
    <row r="62" spans="6:7" ht="10.5">
      <c r="F62" s="132"/>
      <c r="G62" s="132" t="s">
        <v>457</v>
      </c>
    </row>
    <row r="63" spans="6:7" ht="12.75">
      <c r="F63" s="613" t="s">
        <v>458</v>
      </c>
      <c r="G63" s="132"/>
    </row>
  </sheetData>
  <sheetProtection/>
  <printOptions/>
  <pageMargins left="1.6929133858267718" right="0.5118110236220472" top="0.6692913385826772" bottom="0.5905511811023623" header="0.31496062992125984" footer="0.31496062992125984"/>
  <pageSetup horizontalDpi="600" verticalDpi="600" orientation="landscape" paperSize="9" r:id="rId1"/>
  <headerFooter>
    <oddHeader>&amp;R
Anexo: 10
Folha : 0&amp;P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C121"/>
  <sheetViews>
    <sheetView showGridLines="0" zoomScalePageLayoutView="0" workbookViewId="0" topLeftCell="A1">
      <selection activeCell="N8" sqref="N8"/>
    </sheetView>
  </sheetViews>
  <sheetFormatPr defaultColWidth="9.33203125" defaultRowHeight="10.5"/>
  <cols>
    <col min="1" max="1" width="7.16015625" style="77" customWidth="1"/>
    <col min="2" max="2" width="2.5" style="77" customWidth="1"/>
    <col min="3" max="3" width="12.16015625" style="77" customWidth="1"/>
    <col min="4" max="4" width="10.33203125" style="77" customWidth="1"/>
    <col min="5" max="6" width="10.5" style="77" customWidth="1"/>
    <col min="7" max="7" width="10.66015625" style="77" customWidth="1"/>
    <col min="8" max="8" width="11.66015625" style="77" customWidth="1"/>
    <col min="9" max="10" width="12.16015625" style="77" customWidth="1"/>
    <col min="11" max="11" width="12.5" style="77" customWidth="1"/>
    <col min="12" max="12" width="11.83203125" style="352" customWidth="1"/>
    <col min="13" max="13" width="13" style="77" customWidth="1"/>
    <col min="14" max="14" width="13.33203125" style="77" customWidth="1"/>
    <col min="15" max="15" width="11.5" style="77" customWidth="1"/>
    <col min="16" max="16" width="13.16015625" style="77" customWidth="1"/>
    <col min="17" max="16384" width="9.33203125" style="77" customWidth="1"/>
  </cols>
  <sheetData>
    <row r="1" spans="1:4" s="611" customFormat="1" ht="14.25" customHeight="1">
      <c r="A1" s="610" t="s">
        <v>472</v>
      </c>
      <c r="B1" s="610"/>
      <c r="C1" s="610"/>
      <c r="D1" s="610"/>
    </row>
    <row r="2" spans="1:4" s="107" customFormat="1" ht="10.5" customHeight="1">
      <c r="A2" s="132"/>
      <c r="B2" s="612"/>
      <c r="C2" s="132"/>
      <c r="D2" s="132"/>
    </row>
    <row r="3" spans="1:4" s="107" customFormat="1" ht="10.5" customHeight="1">
      <c r="A3" s="132"/>
      <c r="B3" s="612"/>
      <c r="C3" s="132"/>
      <c r="D3" s="132"/>
    </row>
    <row r="4" spans="1:12" s="4" customFormat="1" ht="10.5">
      <c r="A4" s="3" t="s">
        <v>270</v>
      </c>
      <c r="L4" s="343"/>
    </row>
    <row r="5" s="4" customFormat="1" ht="10.5" customHeight="1">
      <c r="L5" s="343"/>
    </row>
    <row r="6" spans="1:4" s="176" customFormat="1" ht="11.25" customHeight="1">
      <c r="A6" s="175" t="s">
        <v>451</v>
      </c>
      <c r="B6" s="53"/>
      <c r="C6" s="288"/>
      <c r="D6" s="107"/>
    </row>
    <row r="7" spans="1:4" s="176" customFormat="1" ht="11.25" customHeight="1">
      <c r="A7" s="173" t="s">
        <v>453</v>
      </c>
      <c r="B7" s="16"/>
      <c r="C7" s="294"/>
      <c r="D7" s="107"/>
    </row>
    <row r="8" spans="1:4" s="176" customFormat="1" ht="11.25" customHeight="1">
      <c r="A8" s="173" t="s">
        <v>454</v>
      </c>
      <c r="B8" s="16"/>
      <c r="C8" s="294"/>
      <c r="D8" s="107"/>
    </row>
    <row r="9" spans="1:4" s="176" customFormat="1" ht="11.25" customHeight="1">
      <c r="A9" s="173" t="s">
        <v>452</v>
      </c>
      <c r="B9" s="16"/>
      <c r="C9" s="294"/>
      <c r="D9" s="107"/>
    </row>
    <row r="10" spans="1:4" s="176" customFormat="1" ht="11.25" customHeight="1">
      <c r="A10" s="175" t="s">
        <v>455</v>
      </c>
      <c r="B10" s="53"/>
      <c r="C10" s="288"/>
      <c r="D10" s="107"/>
    </row>
    <row r="11" spans="1:29" s="176" customFormat="1" ht="11.25" customHeight="1">
      <c r="A11" s="173" t="s">
        <v>460</v>
      </c>
      <c r="B11" s="16"/>
      <c r="C11" s="294"/>
      <c r="D11" s="107"/>
      <c r="X11" s="107"/>
      <c r="Y11" s="107"/>
      <c r="Z11" s="107"/>
      <c r="AA11" s="107"/>
      <c r="AB11" s="107"/>
      <c r="AC11" s="107"/>
    </row>
    <row r="12" s="6" customFormat="1" ht="12.75" customHeight="1" thickBot="1">
      <c r="L12" s="345"/>
    </row>
    <row r="13" spans="1:16" s="6" customFormat="1" ht="12" thickBot="1" thickTop="1">
      <c r="A13" s="616" t="s">
        <v>3</v>
      </c>
      <c r="B13" s="617"/>
      <c r="C13" s="618"/>
      <c r="D13" s="104" t="s">
        <v>92</v>
      </c>
      <c r="E13" s="104" t="s">
        <v>93</v>
      </c>
      <c r="F13" s="104" t="s">
        <v>94</v>
      </c>
      <c r="G13" s="104" t="s">
        <v>95</v>
      </c>
      <c r="H13" s="105" t="s">
        <v>96</v>
      </c>
      <c r="I13" s="105" t="s">
        <v>223</v>
      </c>
      <c r="J13" s="55" t="s">
        <v>11</v>
      </c>
      <c r="K13" s="346" t="s">
        <v>80</v>
      </c>
      <c r="L13" s="55" t="s">
        <v>101</v>
      </c>
      <c r="M13" s="55" t="s">
        <v>109</v>
      </c>
      <c r="N13" s="55" t="s">
        <v>110</v>
      </c>
      <c r="O13" s="55" t="s">
        <v>124</v>
      </c>
      <c r="P13" s="55" t="s">
        <v>302</v>
      </c>
    </row>
    <row r="14" spans="12:16" s="6" customFormat="1" ht="12" thickBot="1" thickTop="1">
      <c r="L14" s="344"/>
      <c r="M14" s="16"/>
      <c r="N14" s="16"/>
      <c r="O14" s="16"/>
      <c r="P14" s="16"/>
    </row>
    <row r="15" spans="1:16" s="8" customFormat="1" ht="11.25" thickTop="1">
      <c r="A15" s="25" t="s">
        <v>1</v>
      </c>
      <c r="B15" s="73" t="s">
        <v>33</v>
      </c>
      <c r="C15" s="73" t="s">
        <v>34</v>
      </c>
      <c r="D15" s="7" t="s">
        <v>67</v>
      </c>
      <c r="E15" s="7" t="s">
        <v>89</v>
      </c>
      <c r="F15" s="97" t="s">
        <v>14</v>
      </c>
      <c r="G15" s="7" t="s">
        <v>38</v>
      </c>
      <c r="H15" s="7" t="s">
        <v>85</v>
      </c>
      <c r="I15" s="328" t="s">
        <v>214</v>
      </c>
      <c r="J15" s="328" t="s">
        <v>12</v>
      </c>
      <c r="K15" s="328" t="s">
        <v>196</v>
      </c>
      <c r="L15" s="347" t="s">
        <v>113</v>
      </c>
      <c r="M15" s="158" t="s">
        <v>15</v>
      </c>
      <c r="N15" s="15" t="s">
        <v>36</v>
      </c>
      <c r="O15" s="158" t="s">
        <v>12</v>
      </c>
      <c r="P15" s="159" t="s">
        <v>15</v>
      </c>
    </row>
    <row r="16" spans="1:16" s="8" customFormat="1" ht="10.5">
      <c r="A16" s="26"/>
      <c r="B16" s="12"/>
      <c r="C16" s="283"/>
      <c r="D16" s="194" t="s">
        <v>194</v>
      </c>
      <c r="E16" s="194" t="s">
        <v>219</v>
      </c>
      <c r="F16" s="23"/>
      <c r="G16" s="9" t="s">
        <v>90</v>
      </c>
      <c r="H16" s="194" t="s">
        <v>211</v>
      </c>
      <c r="I16" s="194" t="s">
        <v>215</v>
      </c>
      <c r="J16" s="194" t="s">
        <v>299</v>
      </c>
      <c r="K16" s="194" t="s">
        <v>194</v>
      </c>
      <c r="L16" s="348" t="s">
        <v>100</v>
      </c>
      <c r="M16" s="161" t="s">
        <v>103</v>
      </c>
      <c r="N16" s="18" t="s">
        <v>116</v>
      </c>
      <c r="O16" s="161" t="s">
        <v>104</v>
      </c>
      <c r="P16" s="162" t="s">
        <v>103</v>
      </c>
    </row>
    <row r="17" spans="1:16" s="8" customFormat="1" ht="10.5">
      <c r="A17" s="26"/>
      <c r="B17" s="12"/>
      <c r="C17" s="283"/>
      <c r="D17" s="194" t="s">
        <v>195</v>
      </c>
      <c r="E17" s="194" t="s">
        <v>220</v>
      </c>
      <c r="F17" s="23"/>
      <c r="G17" s="194" t="s">
        <v>224</v>
      </c>
      <c r="H17" s="194" t="s">
        <v>212</v>
      </c>
      <c r="I17" s="194" t="s">
        <v>213</v>
      </c>
      <c r="J17" s="194" t="s">
        <v>117</v>
      </c>
      <c r="K17" s="194" t="s">
        <v>195</v>
      </c>
      <c r="L17" s="348" t="s">
        <v>103</v>
      </c>
      <c r="M17" s="161" t="s">
        <v>105</v>
      </c>
      <c r="N17" s="18" t="s">
        <v>118</v>
      </c>
      <c r="O17" s="161" t="s">
        <v>2</v>
      </c>
      <c r="P17" s="162" t="s">
        <v>106</v>
      </c>
    </row>
    <row r="18" spans="1:16" s="8" customFormat="1" ht="10.5">
      <c r="A18" s="26"/>
      <c r="B18" s="12"/>
      <c r="C18" s="283"/>
      <c r="D18" s="194" t="s">
        <v>217</v>
      </c>
      <c r="E18" s="9"/>
      <c r="F18" s="23"/>
      <c r="G18" s="194" t="s">
        <v>225</v>
      </c>
      <c r="H18" s="194" t="s">
        <v>195</v>
      </c>
      <c r="I18" s="342">
        <v>0.06</v>
      </c>
      <c r="J18" s="342" t="s">
        <v>119</v>
      </c>
      <c r="K18" s="194" t="s">
        <v>216</v>
      </c>
      <c r="L18" s="348" t="s">
        <v>105</v>
      </c>
      <c r="M18" s="161" t="s">
        <v>107</v>
      </c>
      <c r="N18" s="324" t="s">
        <v>269</v>
      </c>
      <c r="O18" s="161"/>
      <c r="P18" s="443" t="s">
        <v>271</v>
      </c>
    </row>
    <row r="19" spans="1:16" s="8" customFormat="1" ht="10.5">
      <c r="A19" s="26"/>
      <c r="B19" s="12"/>
      <c r="C19" s="283"/>
      <c r="D19" s="194" t="s">
        <v>218</v>
      </c>
      <c r="E19" s="9"/>
      <c r="F19" s="23"/>
      <c r="G19" s="9"/>
      <c r="H19" s="194"/>
      <c r="I19" s="341" t="s">
        <v>301</v>
      </c>
      <c r="J19" s="341" t="s">
        <v>217</v>
      </c>
      <c r="K19" s="194" t="s">
        <v>222</v>
      </c>
      <c r="L19" s="349"/>
      <c r="M19" s="163">
        <v>42005</v>
      </c>
      <c r="N19" s="325" t="s">
        <v>120</v>
      </c>
      <c r="O19" s="161"/>
      <c r="P19" s="444">
        <v>42005</v>
      </c>
    </row>
    <row r="20" spans="1:16" s="8" customFormat="1" ht="12.75" customHeight="1" thickBot="1">
      <c r="A20" s="27"/>
      <c r="B20" s="28"/>
      <c r="C20" s="28"/>
      <c r="D20" s="196"/>
      <c r="E20" s="24"/>
      <c r="F20" s="338" t="s">
        <v>208</v>
      </c>
      <c r="G20" s="24"/>
      <c r="H20" s="24" t="s">
        <v>97</v>
      </c>
      <c r="I20" s="196" t="s">
        <v>177</v>
      </c>
      <c r="J20" s="196" t="s">
        <v>300</v>
      </c>
      <c r="K20" s="196" t="s">
        <v>186</v>
      </c>
      <c r="L20" s="350"/>
      <c r="M20" s="322" t="s">
        <v>303</v>
      </c>
      <c r="N20" s="165">
        <v>42005</v>
      </c>
      <c r="O20" s="323" t="s">
        <v>304</v>
      </c>
      <c r="P20" s="445" t="s">
        <v>305</v>
      </c>
    </row>
    <row r="21" s="6" customFormat="1" ht="11.25" thickTop="1">
      <c r="L21" s="345"/>
    </row>
    <row r="22" spans="1:16" ht="10.5">
      <c r="A22" s="93">
        <v>39814</v>
      </c>
      <c r="B22" s="92" t="s">
        <v>33</v>
      </c>
      <c r="C22" s="339" t="s">
        <v>209</v>
      </c>
      <c r="D22" s="94">
        <v>2.9</v>
      </c>
      <c r="E22" s="101">
        <v>2</v>
      </c>
      <c r="F22" s="94">
        <f>D22*E22</f>
        <v>5.8</v>
      </c>
      <c r="G22" s="358">
        <v>17</v>
      </c>
      <c r="H22" s="94">
        <f>F22*G22</f>
        <v>98.6</v>
      </c>
      <c r="I22" s="354"/>
      <c r="J22" s="354"/>
      <c r="K22" s="354"/>
      <c r="L22" s="355"/>
      <c r="M22" s="354"/>
      <c r="N22" s="356"/>
      <c r="O22" s="357"/>
      <c r="P22" s="357"/>
    </row>
    <row r="23" spans="3:16" ht="10.5">
      <c r="C23" s="95" t="s">
        <v>210</v>
      </c>
      <c r="D23" s="96">
        <v>2.9</v>
      </c>
      <c r="E23" s="102">
        <v>2</v>
      </c>
      <c r="F23" s="96">
        <f>D23*E23</f>
        <v>5.8</v>
      </c>
      <c r="G23" s="358">
        <v>17</v>
      </c>
      <c r="H23" s="94">
        <f>F23*G23</f>
        <v>98.6</v>
      </c>
      <c r="I23" s="354"/>
      <c r="J23" s="354"/>
      <c r="K23" s="354"/>
      <c r="L23" s="355"/>
      <c r="M23" s="354"/>
      <c r="N23" s="356"/>
      <c r="O23" s="357"/>
      <c r="P23" s="357"/>
    </row>
    <row r="24" spans="3:18" ht="10.5">
      <c r="C24" s="99" t="s">
        <v>91</v>
      </c>
      <c r="D24" s="98"/>
      <c r="E24" s="103"/>
      <c r="F24" s="98"/>
      <c r="G24" s="103"/>
      <c r="H24" s="94">
        <f>SUM(H22:H23)</f>
        <v>197.2</v>
      </c>
      <c r="I24" s="100">
        <v>61.4</v>
      </c>
      <c r="J24" s="100">
        <v>186.2</v>
      </c>
      <c r="K24" s="100">
        <f>H24-I24-J24</f>
        <v>-50.4</v>
      </c>
      <c r="L24" s="351">
        <f>Corr!F48</f>
        <v>1.03816541</v>
      </c>
      <c r="M24" s="329">
        <f>K24*L24</f>
        <v>-52.32</v>
      </c>
      <c r="N24" s="171">
        <f>'08'!G23</f>
        <v>35.03</v>
      </c>
      <c r="O24" s="172">
        <f>M24*N24%</f>
        <v>-18.33</v>
      </c>
      <c r="P24" s="172">
        <f>M24+O24</f>
        <v>-70.65</v>
      </c>
      <c r="R24" s="77"/>
    </row>
    <row r="25" spans="1:16" ht="10.5">
      <c r="A25" s="93">
        <v>39845</v>
      </c>
      <c r="B25" s="92" t="s">
        <v>33</v>
      </c>
      <c r="C25" s="339" t="s">
        <v>209</v>
      </c>
      <c r="D25" s="94">
        <v>2.9</v>
      </c>
      <c r="E25" s="101">
        <v>2</v>
      </c>
      <c r="F25" s="94">
        <f>D25*E25</f>
        <v>5.8</v>
      </c>
      <c r="G25" s="358">
        <v>22</v>
      </c>
      <c r="H25" s="94">
        <f>F25*G25</f>
        <v>127.6</v>
      </c>
      <c r="I25" s="354"/>
      <c r="J25" s="354"/>
      <c r="K25" s="354"/>
      <c r="L25" s="355"/>
      <c r="M25" s="354"/>
      <c r="N25" s="356"/>
      <c r="O25" s="357"/>
      <c r="P25" s="357"/>
    </row>
    <row r="26" spans="3:16" ht="10.5">
      <c r="C26" s="95" t="s">
        <v>210</v>
      </c>
      <c r="D26" s="96">
        <v>2.9</v>
      </c>
      <c r="E26" s="102">
        <v>2</v>
      </c>
      <c r="F26" s="96">
        <f>D26*E26</f>
        <v>5.8</v>
      </c>
      <c r="G26" s="359">
        <v>22</v>
      </c>
      <c r="H26" s="94">
        <f>F26*G26</f>
        <v>127.6</v>
      </c>
      <c r="I26" s="354"/>
      <c r="J26" s="354"/>
      <c r="K26" s="354"/>
      <c r="L26" s="355"/>
      <c r="M26" s="354"/>
      <c r="N26" s="356"/>
      <c r="O26" s="357"/>
      <c r="P26" s="357"/>
    </row>
    <row r="27" spans="3:16" ht="10.5">
      <c r="C27" s="99" t="s">
        <v>91</v>
      </c>
      <c r="D27" s="98"/>
      <c r="E27" s="103"/>
      <c r="F27" s="98"/>
      <c r="G27" s="103"/>
      <c r="H27" s="94">
        <f>SUM(H25:H26)</f>
        <v>255.2</v>
      </c>
      <c r="I27" s="100">
        <v>95.17</v>
      </c>
      <c r="J27" s="100">
        <v>153.3</v>
      </c>
      <c r="K27" s="100">
        <f>H27-I27-J27</f>
        <v>6.73</v>
      </c>
      <c r="L27" s="351">
        <f>Corr!F49</f>
        <v>1.03769741</v>
      </c>
      <c r="M27" s="329">
        <f>K27*L27</f>
        <v>6.98</v>
      </c>
      <c r="N27" s="171">
        <f>N24</f>
        <v>35.03</v>
      </c>
      <c r="O27" s="172">
        <f>M27*N27%</f>
        <v>2.45</v>
      </c>
      <c r="P27" s="172">
        <f>M27+O27</f>
        <v>9.43</v>
      </c>
    </row>
    <row r="28" spans="1:16" ht="10.5">
      <c r="A28" s="93">
        <v>39873</v>
      </c>
      <c r="B28" s="92" t="s">
        <v>33</v>
      </c>
      <c r="C28" s="339" t="s">
        <v>209</v>
      </c>
      <c r="D28" s="94">
        <v>2.9</v>
      </c>
      <c r="E28" s="101">
        <v>2</v>
      </c>
      <c r="F28" s="94">
        <v>2.9</v>
      </c>
      <c r="G28" s="358">
        <v>23</v>
      </c>
      <c r="H28" s="94">
        <f>F28*G28</f>
        <v>66.7</v>
      </c>
      <c r="I28" s="354"/>
      <c r="J28" s="354"/>
      <c r="K28" s="354"/>
      <c r="L28" s="355"/>
      <c r="M28" s="354"/>
      <c r="N28" s="356"/>
      <c r="O28" s="357"/>
      <c r="P28" s="357"/>
    </row>
    <row r="29" spans="3:16" ht="10.5">
      <c r="C29" s="95" t="s">
        <v>210</v>
      </c>
      <c r="D29" s="96">
        <v>2.9</v>
      </c>
      <c r="E29" s="102">
        <v>2</v>
      </c>
      <c r="F29" s="96">
        <v>2.9</v>
      </c>
      <c r="G29" s="359">
        <v>23</v>
      </c>
      <c r="H29" s="94">
        <f>F29*G29</f>
        <v>66.7</v>
      </c>
      <c r="I29" s="354"/>
      <c r="J29" s="354"/>
      <c r="K29" s="354"/>
      <c r="L29" s="355"/>
      <c r="M29" s="354"/>
      <c r="N29" s="356"/>
      <c r="O29" s="357"/>
      <c r="P29" s="357"/>
    </row>
    <row r="30" spans="3:16" ht="10.5">
      <c r="C30" s="99" t="s">
        <v>91</v>
      </c>
      <c r="D30" s="96"/>
      <c r="E30" s="102"/>
      <c r="F30" s="96"/>
      <c r="G30" s="359"/>
      <c r="H30" s="94">
        <f>SUM(H28:H29)</f>
        <v>133.4</v>
      </c>
      <c r="I30" s="100">
        <v>95.17</v>
      </c>
      <c r="J30" s="100">
        <v>182.4</v>
      </c>
      <c r="K30" s="100">
        <f>H30-I30-J30</f>
        <v>-144.17</v>
      </c>
      <c r="L30" s="351">
        <f>Corr!F50</f>
        <v>1.03620734</v>
      </c>
      <c r="M30" s="329">
        <f>K30*L30</f>
        <v>-149.39</v>
      </c>
      <c r="N30" s="171">
        <f>N27</f>
        <v>35.03</v>
      </c>
      <c r="O30" s="172">
        <f>M30*N30%</f>
        <v>-52.33</v>
      </c>
      <c r="P30" s="172">
        <f>M30+O30</f>
        <v>-201.72</v>
      </c>
    </row>
    <row r="31" spans="1:16" ht="10.5">
      <c r="A31" s="93">
        <v>39904</v>
      </c>
      <c r="B31" s="92" t="s">
        <v>33</v>
      </c>
      <c r="C31" s="339" t="s">
        <v>209</v>
      </c>
      <c r="D31" s="94">
        <v>2.9</v>
      </c>
      <c r="E31" s="101">
        <v>2</v>
      </c>
      <c r="F31" s="94">
        <f>D31*E31</f>
        <v>5.8</v>
      </c>
      <c r="G31" s="358">
        <v>22</v>
      </c>
      <c r="H31" s="94">
        <f>F31*G31</f>
        <v>127.6</v>
      </c>
      <c r="I31" s="354"/>
      <c r="J31" s="354"/>
      <c r="K31" s="354"/>
      <c r="L31" s="355"/>
      <c r="M31" s="354"/>
      <c r="N31" s="356"/>
      <c r="O31" s="357"/>
      <c r="P31" s="357"/>
    </row>
    <row r="32" spans="3:16" ht="10.5">
      <c r="C32" s="95" t="s">
        <v>210</v>
      </c>
      <c r="D32" s="96">
        <v>2.9</v>
      </c>
      <c r="E32" s="102">
        <v>2</v>
      </c>
      <c r="F32" s="96">
        <f>D32*E32</f>
        <v>5.8</v>
      </c>
      <c r="G32" s="359">
        <v>22</v>
      </c>
      <c r="H32" s="94">
        <f>F32*G32</f>
        <v>127.6</v>
      </c>
      <c r="I32" s="354"/>
      <c r="J32" s="354"/>
      <c r="K32" s="354"/>
      <c r="L32" s="355"/>
      <c r="M32" s="354"/>
      <c r="N32" s="356"/>
      <c r="O32" s="357"/>
      <c r="P32" s="357"/>
    </row>
    <row r="33" spans="3:16" ht="10.5">
      <c r="C33" s="99" t="s">
        <v>91</v>
      </c>
      <c r="D33" s="96"/>
      <c r="E33" s="102"/>
      <c r="F33" s="96"/>
      <c r="G33" s="359"/>
      <c r="H33" s="94">
        <f>SUM(H31:H32)</f>
        <v>255.2</v>
      </c>
      <c r="I33" s="100">
        <v>95.17</v>
      </c>
      <c r="J33" s="100">
        <v>167.2</v>
      </c>
      <c r="K33" s="100">
        <f>H33-I33-J33</f>
        <v>-7.17</v>
      </c>
      <c r="L33" s="351">
        <f>Corr!F51</f>
        <v>1.03573712</v>
      </c>
      <c r="M33" s="329">
        <f>K33*L33</f>
        <v>-7.43</v>
      </c>
      <c r="N33" s="171">
        <f>N30</f>
        <v>35.03</v>
      </c>
      <c r="O33" s="172">
        <f>M33*N33%</f>
        <v>-2.6</v>
      </c>
      <c r="P33" s="172">
        <f>M33+O33</f>
        <v>-10.03</v>
      </c>
    </row>
    <row r="34" spans="1:16" ht="10.5">
      <c r="A34" s="340">
        <v>39934</v>
      </c>
      <c r="B34" s="92" t="s">
        <v>33</v>
      </c>
      <c r="C34" s="339" t="s">
        <v>209</v>
      </c>
      <c r="D34" s="94">
        <v>2.9</v>
      </c>
      <c r="E34" s="101">
        <v>2</v>
      </c>
      <c r="F34" s="94">
        <f>D34*E34</f>
        <v>5.8</v>
      </c>
      <c r="G34" s="358">
        <v>20</v>
      </c>
      <c r="H34" s="94">
        <f>F34*G34</f>
        <v>116</v>
      </c>
      <c r="I34" s="354"/>
      <c r="J34" s="354"/>
      <c r="K34" s="354"/>
      <c r="L34" s="355"/>
      <c r="M34" s="354"/>
      <c r="N34" s="356"/>
      <c r="O34" s="357"/>
      <c r="P34" s="357"/>
    </row>
    <row r="35" spans="3:16" ht="10.5">
      <c r="C35" s="95" t="s">
        <v>210</v>
      </c>
      <c r="D35" s="96">
        <v>2.9</v>
      </c>
      <c r="E35" s="102">
        <v>2</v>
      </c>
      <c r="F35" s="96">
        <f>D35*E35</f>
        <v>5.8</v>
      </c>
      <c r="G35" s="359">
        <v>20</v>
      </c>
      <c r="H35" s="94">
        <f>F35*G35</f>
        <v>116</v>
      </c>
      <c r="I35" s="354"/>
      <c r="J35" s="354"/>
      <c r="K35" s="354"/>
      <c r="L35" s="355"/>
      <c r="M35" s="354"/>
      <c r="N35" s="356"/>
      <c r="O35" s="357"/>
      <c r="P35" s="357"/>
    </row>
    <row r="36" spans="3:16" ht="10.5">
      <c r="C36" s="99" t="s">
        <v>91</v>
      </c>
      <c r="D36" s="98"/>
      <c r="E36" s="103"/>
      <c r="F36" s="98"/>
      <c r="G36" s="103"/>
      <c r="H36" s="94">
        <f>SUM(H34:H35)</f>
        <v>232</v>
      </c>
      <c r="I36" s="100">
        <v>101.64</v>
      </c>
      <c r="J36" s="100">
        <f>115.5+77</f>
        <v>192.5</v>
      </c>
      <c r="K36" s="100">
        <f>H36-I36-J36</f>
        <v>-62.14</v>
      </c>
      <c r="L36" s="351">
        <f>Corr!F52</f>
        <v>1.03527228</v>
      </c>
      <c r="M36" s="329">
        <f>K36*L36</f>
        <v>-64.33</v>
      </c>
      <c r="N36" s="171">
        <f>N33</f>
        <v>35.03</v>
      </c>
      <c r="O36" s="172">
        <f>M36*N36%</f>
        <v>-22.53</v>
      </c>
      <c r="P36" s="172">
        <f>M36+O36</f>
        <v>-86.86</v>
      </c>
    </row>
    <row r="37" spans="1:16" ht="10.5">
      <c r="A37" s="93">
        <v>39965</v>
      </c>
      <c r="B37" s="92" t="s">
        <v>33</v>
      </c>
      <c r="C37" s="339" t="s">
        <v>209</v>
      </c>
      <c r="D37" s="94">
        <v>2.9</v>
      </c>
      <c r="E37" s="101">
        <v>2</v>
      </c>
      <c r="F37" s="94">
        <f>D37*E37</f>
        <v>5.8</v>
      </c>
      <c r="G37" s="358">
        <v>21</v>
      </c>
      <c r="H37" s="94">
        <f>F37*G37</f>
        <v>121.8</v>
      </c>
      <c r="I37" s="354"/>
      <c r="J37" s="354"/>
      <c r="K37" s="354"/>
      <c r="L37" s="355"/>
      <c r="M37" s="354"/>
      <c r="N37" s="356"/>
      <c r="O37" s="357"/>
      <c r="P37" s="357"/>
    </row>
    <row r="38" spans="3:16" ht="10.5">
      <c r="C38" s="95" t="s">
        <v>210</v>
      </c>
      <c r="D38" s="96">
        <v>2.9</v>
      </c>
      <c r="E38" s="102">
        <v>2</v>
      </c>
      <c r="F38" s="96">
        <f>D38*E38</f>
        <v>5.8</v>
      </c>
      <c r="G38" s="359">
        <v>21</v>
      </c>
      <c r="H38" s="94">
        <f>F38*G38</f>
        <v>121.8</v>
      </c>
      <c r="I38" s="354"/>
      <c r="J38" s="354"/>
      <c r="K38" s="354"/>
      <c r="L38" s="355"/>
      <c r="M38" s="354"/>
      <c r="N38" s="356"/>
      <c r="O38" s="357"/>
      <c r="P38" s="357"/>
    </row>
    <row r="39" spans="3:16" ht="10.5">
      <c r="C39" s="99" t="s">
        <v>91</v>
      </c>
      <c r="D39" s="98"/>
      <c r="E39" s="103"/>
      <c r="F39" s="98"/>
      <c r="G39" s="103"/>
      <c r="H39" s="94">
        <f>SUM(H37:H38)</f>
        <v>243.6</v>
      </c>
      <c r="I39" s="100">
        <v>101.64</v>
      </c>
      <c r="J39" s="100">
        <v>107.8</v>
      </c>
      <c r="K39" s="100">
        <f>H39-I39-J39</f>
        <v>34.16</v>
      </c>
      <c r="L39" s="351">
        <f>Corr!F53</f>
        <v>1.03459358</v>
      </c>
      <c r="M39" s="329">
        <f>K39*L39</f>
        <v>35.34</v>
      </c>
      <c r="N39" s="171">
        <f>N36</f>
        <v>35.03</v>
      </c>
      <c r="O39" s="172">
        <f>M39*N39%</f>
        <v>12.38</v>
      </c>
      <c r="P39" s="172">
        <f>M39+O39</f>
        <v>47.72</v>
      </c>
    </row>
    <row r="40" spans="1:16" ht="10.5">
      <c r="A40" s="93">
        <v>39995</v>
      </c>
      <c r="B40" s="92" t="s">
        <v>33</v>
      </c>
      <c r="C40" s="339" t="s">
        <v>209</v>
      </c>
      <c r="D40" s="94">
        <v>2.9</v>
      </c>
      <c r="E40" s="101">
        <v>2</v>
      </c>
      <c r="F40" s="94">
        <f>D40*E40</f>
        <v>5.8</v>
      </c>
      <c r="G40" s="358">
        <v>23</v>
      </c>
      <c r="H40" s="94">
        <f>F40*G40</f>
        <v>133.4</v>
      </c>
      <c r="I40" s="354"/>
      <c r="J40" s="354"/>
      <c r="K40" s="354"/>
      <c r="L40" s="355"/>
      <c r="M40" s="354"/>
      <c r="N40" s="356"/>
      <c r="O40" s="357"/>
      <c r="P40" s="357"/>
    </row>
    <row r="41" spans="3:16" ht="10.5">
      <c r="C41" s="95" t="s">
        <v>210</v>
      </c>
      <c r="D41" s="96">
        <v>2.9</v>
      </c>
      <c r="E41" s="102">
        <v>2</v>
      </c>
      <c r="F41" s="96">
        <f>D41*E41</f>
        <v>5.8</v>
      </c>
      <c r="G41" s="359">
        <v>23</v>
      </c>
      <c r="H41" s="94">
        <f>F41*G41</f>
        <v>133.4</v>
      </c>
      <c r="I41" s="354"/>
      <c r="J41" s="354"/>
      <c r="K41" s="354"/>
      <c r="L41" s="355"/>
      <c r="M41" s="354"/>
      <c r="N41" s="356"/>
      <c r="O41" s="357"/>
      <c r="P41" s="357"/>
    </row>
    <row r="42" spans="3:16" ht="10.5">
      <c r="C42" s="99" t="s">
        <v>91</v>
      </c>
      <c r="D42" s="98"/>
      <c r="E42" s="103"/>
      <c r="F42" s="98"/>
      <c r="G42" s="103"/>
      <c r="H42" s="94">
        <f>SUM(H40:H41)</f>
        <v>266.8</v>
      </c>
      <c r="I42" s="100">
        <v>101.64</v>
      </c>
      <c r="J42" s="100">
        <f>69.3+23.1+107.8</f>
        <v>200.2</v>
      </c>
      <c r="K42" s="100">
        <f>H42-I42-J42</f>
        <v>-35.04</v>
      </c>
      <c r="L42" s="351">
        <f>Corr!F54</f>
        <v>1.03350737</v>
      </c>
      <c r="M42" s="329">
        <f>K42*L42</f>
        <v>-36.21</v>
      </c>
      <c r="N42" s="171">
        <f>N39</f>
        <v>35.03</v>
      </c>
      <c r="O42" s="172">
        <f>M42*N42%</f>
        <v>-12.68</v>
      </c>
      <c r="P42" s="172">
        <f>M42+O42</f>
        <v>-48.89</v>
      </c>
    </row>
    <row r="43" spans="1:16" ht="10.5">
      <c r="A43" s="93">
        <v>40026</v>
      </c>
      <c r="B43" s="92" t="s">
        <v>33</v>
      </c>
      <c r="C43" s="339" t="s">
        <v>209</v>
      </c>
      <c r="D43" s="94">
        <v>2.9</v>
      </c>
      <c r="E43" s="101">
        <v>2</v>
      </c>
      <c r="F43" s="94">
        <f>D43*E43</f>
        <v>5.8</v>
      </c>
      <c r="G43" s="358">
        <v>18</v>
      </c>
      <c r="H43" s="94">
        <f>F43*G43</f>
        <v>104.4</v>
      </c>
      <c r="I43" s="354"/>
      <c r="J43" s="354"/>
      <c r="K43" s="354"/>
      <c r="L43" s="355"/>
      <c r="M43" s="354"/>
      <c r="N43" s="356"/>
      <c r="O43" s="357"/>
      <c r="P43" s="357"/>
    </row>
    <row r="44" spans="3:16" ht="10.5">
      <c r="C44" s="95" t="s">
        <v>210</v>
      </c>
      <c r="D44" s="96">
        <v>2.9</v>
      </c>
      <c r="E44" s="102">
        <v>2</v>
      </c>
      <c r="F44" s="96">
        <f>D44*E44</f>
        <v>5.8</v>
      </c>
      <c r="G44" s="359">
        <v>18</v>
      </c>
      <c r="H44" s="94">
        <f>F44*G44</f>
        <v>104.4</v>
      </c>
      <c r="I44" s="354"/>
      <c r="J44" s="354"/>
      <c r="K44" s="354"/>
      <c r="L44" s="355"/>
      <c r="M44" s="354"/>
      <c r="N44" s="356"/>
      <c r="O44" s="357"/>
      <c r="P44" s="357"/>
    </row>
    <row r="45" spans="3:16" ht="10.5">
      <c r="C45" s="99" t="s">
        <v>91</v>
      </c>
      <c r="D45" s="98"/>
      <c r="E45" s="103"/>
      <c r="F45" s="98"/>
      <c r="G45" s="103"/>
      <c r="H45" s="94">
        <f>SUM(H43:H44)</f>
        <v>208.8</v>
      </c>
      <c r="I45" s="100">
        <v>101.64</v>
      </c>
      <c r="J45" s="100">
        <f>77+23.1+92.4</f>
        <v>192.5</v>
      </c>
      <c r="K45" s="100">
        <f>H45-I45-J45</f>
        <v>-85.34</v>
      </c>
      <c r="L45" s="351">
        <f>Corr!F55</f>
        <v>1.03330381</v>
      </c>
      <c r="M45" s="329">
        <f>K45*L45</f>
        <v>-88.18</v>
      </c>
      <c r="N45" s="171">
        <f>N42</f>
        <v>35.03</v>
      </c>
      <c r="O45" s="172">
        <f>M45*N45%</f>
        <v>-30.89</v>
      </c>
      <c r="P45" s="172">
        <f>M45+O45</f>
        <v>-119.07</v>
      </c>
    </row>
    <row r="46" spans="1:16" ht="10.5">
      <c r="A46" s="93">
        <v>40057</v>
      </c>
      <c r="B46" s="92" t="s">
        <v>33</v>
      </c>
      <c r="C46" s="339" t="s">
        <v>209</v>
      </c>
      <c r="D46" s="94">
        <v>2.9</v>
      </c>
      <c r="E46" s="101">
        <v>2</v>
      </c>
      <c r="F46" s="94">
        <f>D46*E46</f>
        <v>5.8</v>
      </c>
      <c r="G46" s="358">
        <v>27</v>
      </c>
      <c r="H46" s="94">
        <f>F46*G46</f>
        <v>156.6</v>
      </c>
      <c r="I46" s="354"/>
      <c r="J46" s="354"/>
      <c r="K46" s="354"/>
      <c r="L46" s="355"/>
      <c r="M46" s="354"/>
      <c r="N46" s="356"/>
      <c r="O46" s="357"/>
      <c r="P46" s="357"/>
    </row>
    <row r="47" spans="3:16" ht="10.5">
      <c r="C47" s="95" t="s">
        <v>210</v>
      </c>
      <c r="D47" s="96">
        <v>2.9</v>
      </c>
      <c r="E47" s="102">
        <v>2</v>
      </c>
      <c r="F47" s="96">
        <f>D47*E47</f>
        <v>5.8</v>
      </c>
      <c r="G47" s="359">
        <v>27</v>
      </c>
      <c r="H47" s="94">
        <f>F47*G47</f>
        <v>156.6</v>
      </c>
      <c r="I47" s="354"/>
      <c r="J47" s="354"/>
      <c r="K47" s="354"/>
      <c r="L47" s="355"/>
      <c r="M47" s="354"/>
      <c r="N47" s="356"/>
      <c r="O47" s="357"/>
      <c r="P47" s="357"/>
    </row>
    <row r="48" spans="3:16" ht="10.5">
      <c r="C48" s="99" t="s">
        <v>91</v>
      </c>
      <c r="D48" s="98"/>
      <c r="E48" s="103"/>
      <c r="F48" s="98"/>
      <c r="G48" s="103"/>
      <c r="H48" s="94">
        <f>SUM(H46:H47)</f>
        <v>313.2</v>
      </c>
      <c r="I48" s="100">
        <v>101.64</v>
      </c>
      <c r="J48" s="100">
        <f>84.7</f>
        <v>84.7</v>
      </c>
      <c r="K48" s="100">
        <f>H48-I48-J48</f>
        <v>126.86</v>
      </c>
      <c r="L48" s="351">
        <f>Corr!F56</f>
        <v>1.03330381</v>
      </c>
      <c r="M48" s="329">
        <f>K48*L48</f>
        <v>131.08</v>
      </c>
      <c r="N48" s="171">
        <f>N45</f>
        <v>35.03</v>
      </c>
      <c r="O48" s="172">
        <f>M48*N48%</f>
        <v>45.92</v>
      </c>
      <c r="P48" s="172">
        <f>M48+O48</f>
        <v>177</v>
      </c>
    </row>
    <row r="49" spans="1:16" ht="10.5">
      <c r="A49" s="93">
        <v>40087</v>
      </c>
      <c r="B49" s="92" t="s">
        <v>33</v>
      </c>
      <c r="C49" s="339" t="s">
        <v>209</v>
      </c>
      <c r="D49" s="94">
        <v>2.9</v>
      </c>
      <c r="E49" s="101">
        <v>2</v>
      </c>
      <c r="F49" s="94">
        <f>D49*E49</f>
        <v>5.8</v>
      </c>
      <c r="G49" s="358">
        <v>22</v>
      </c>
      <c r="H49" s="94">
        <f>F49*G49</f>
        <v>127.6</v>
      </c>
      <c r="I49" s="354"/>
      <c r="J49" s="354"/>
      <c r="K49" s="354"/>
      <c r="L49" s="355"/>
      <c r="M49" s="354"/>
      <c r="N49" s="356"/>
      <c r="O49" s="357"/>
      <c r="P49" s="357"/>
    </row>
    <row r="50" spans="3:16" ht="10.5">
      <c r="C50" s="95" t="s">
        <v>210</v>
      </c>
      <c r="D50" s="96">
        <v>2.9</v>
      </c>
      <c r="E50" s="102">
        <v>2</v>
      </c>
      <c r="F50" s="96">
        <f>D50*E50</f>
        <v>5.8</v>
      </c>
      <c r="G50" s="359">
        <v>22</v>
      </c>
      <c r="H50" s="94">
        <f>F50*G50</f>
        <v>127.6</v>
      </c>
      <c r="I50" s="354"/>
      <c r="J50" s="354"/>
      <c r="K50" s="354"/>
      <c r="L50" s="355"/>
      <c r="M50" s="354"/>
      <c r="N50" s="356"/>
      <c r="O50" s="357"/>
      <c r="P50" s="357"/>
    </row>
    <row r="51" spans="3:16" ht="10.5">
      <c r="C51" s="99" t="s">
        <v>91</v>
      </c>
      <c r="D51" s="98"/>
      <c r="E51" s="103"/>
      <c r="F51" s="98"/>
      <c r="G51" s="103"/>
      <c r="H51" s="94">
        <f>SUM(H49:H50)</f>
        <v>255.2</v>
      </c>
      <c r="I51" s="100">
        <v>101.64</v>
      </c>
      <c r="J51" s="100">
        <f>69.3+53.9+84.7</f>
        <v>207.9</v>
      </c>
      <c r="K51" s="100">
        <f>H51-I51-J51</f>
        <v>-54.34</v>
      </c>
      <c r="L51" s="351">
        <f>Corr!F57</f>
        <v>1.03330381</v>
      </c>
      <c r="M51" s="329">
        <f>K51*L51</f>
        <v>-56.15</v>
      </c>
      <c r="N51" s="171">
        <f>N48</f>
        <v>35.03</v>
      </c>
      <c r="O51" s="172">
        <f>M51*N51%</f>
        <v>-19.67</v>
      </c>
      <c r="P51" s="172">
        <f>M51+O51</f>
        <v>-75.82</v>
      </c>
    </row>
    <row r="52" spans="1:16" ht="10.5">
      <c r="A52" s="93">
        <v>40118</v>
      </c>
      <c r="B52" s="92" t="s">
        <v>33</v>
      </c>
      <c r="C52" s="339" t="s">
        <v>209</v>
      </c>
      <c r="D52" s="94">
        <v>2.9</v>
      </c>
      <c r="E52" s="101">
        <v>2</v>
      </c>
      <c r="F52" s="94">
        <f>D52*E52</f>
        <v>5.8</v>
      </c>
      <c r="G52" s="358">
        <v>24</v>
      </c>
      <c r="H52" s="94">
        <f>F52*G52</f>
        <v>139.2</v>
      </c>
      <c r="I52" s="354"/>
      <c r="J52" s="354"/>
      <c r="K52" s="354"/>
      <c r="L52" s="355"/>
      <c r="M52" s="354"/>
      <c r="N52" s="356"/>
      <c r="O52" s="357"/>
      <c r="P52" s="357"/>
    </row>
    <row r="53" spans="3:16" ht="10.5">
      <c r="C53" s="95" t="s">
        <v>210</v>
      </c>
      <c r="D53" s="96">
        <v>2.9</v>
      </c>
      <c r="E53" s="102">
        <v>2</v>
      </c>
      <c r="F53" s="96">
        <f>D53*E53</f>
        <v>5.8</v>
      </c>
      <c r="G53" s="359">
        <v>24</v>
      </c>
      <c r="H53" s="94">
        <f>F53*G53</f>
        <v>139.2</v>
      </c>
      <c r="I53" s="354"/>
      <c r="J53" s="354"/>
      <c r="K53" s="354"/>
      <c r="L53" s="355"/>
      <c r="M53" s="354"/>
      <c r="N53" s="356"/>
      <c r="O53" s="357"/>
      <c r="P53" s="357"/>
    </row>
    <row r="54" spans="3:16" ht="10.5">
      <c r="C54" s="99" t="s">
        <v>91</v>
      </c>
      <c r="D54" s="98"/>
      <c r="E54" s="103"/>
      <c r="F54" s="98"/>
      <c r="G54" s="103"/>
      <c r="H54" s="94">
        <f>SUM(H52:H53)</f>
        <v>278.4</v>
      </c>
      <c r="I54" s="100">
        <v>101.64</v>
      </c>
      <c r="J54" s="100">
        <v>138.6</v>
      </c>
      <c r="K54" s="100">
        <f>H54-I54-J54</f>
        <v>38.16</v>
      </c>
      <c r="L54" s="351">
        <f>Corr!F58</f>
        <v>1.03330381</v>
      </c>
      <c r="M54" s="329">
        <f>K54*L54</f>
        <v>39.43</v>
      </c>
      <c r="N54" s="171">
        <f>N51</f>
        <v>35.03</v>
      </c>
      <c r="O54" s="172">
        <f>M54*N54%</f>
        <v>13.81</v>
      </c>
      <c r="P54" s="172">
        <f>M54+O54</f>
        <v>53.24</v>
      </c>
    </row>
    <row r="55" spans="1:16" ht="10.5">
      <c r="A55" s="93">
        <v>40148</v>
      </c>
      <c r="B55" s="92" t="s">
        <v>33</v>
      </c>
      <c r="C55" s="339" t="s">
        <v>209</v>
      </c>
      <c r="D55" s="94">
        <v>2.9</v>
      </c>
      <c r="E55" s="101">
        <v>2</v>
      </c>
      <c r="F55" s="94">
        <f>D55*E55</f>
        <v>5.8</v>
      </c>
      <c r="G55" s="358">
        <v>20</v>
      </c>
      <c r="H55" s="94">
        <f>F55*G55</f>
        <v>116</v>
      </c>
      <c r="I55" s="354"/>
      <c r="J55" s="354"/>
      <c r="K55" s="354"/>
      <c r="L55" s="355"/>
      <c r="M55" s="354"/>
      <c r="N55" s="356"/>
      <c r="O55" s="357"/>
      <c r="P55" s="357"/>
    </row>
    <row r="56" spans="3:16" ht="10.5">
      <c r="C56" s="95" t="s">
        <v>210</v>
      </c>
      <c r="D56" s="96">
        <v>2.9</v>
      </c>
      <c r="E56" s="102">
        <v>2</v>
      </c>
      <c r="F56" s="96">
        <f>D56*E56</f>
        <v>5.8</v>
      </c>
      <c r="G56" s="359">
        <v>20</v>
      </c>
      <c r="H56" s="94">
        <f>F56*G56</f>
        <v>116</v>
      </c>
      <c r="I56" s="354"/>
      <c r="J56" s="354"/>
      <c r="K56" s="354"/>
      <c r="L56" s="355"/>
      <c r="M56" s="354"/>
      <c r="N56" s="356"/>
      <c r="O56" s="357"/>
      <c r="P56" s="357"/>
    </row>
    <row r="57" spans="3:16" ht="10.5">
      <c r="C57" s="99" t="s">
        <v>91</v>
      </c>
      <c r="D57" s="98"/>
      <c r="E57" s="103"/>
      <c r="F57" s="98"/>
      <c r="G57" s="103"/>
      <c r="H57" s="94">
        <f>SUM(H55:H56)</f>
        <v>232</v>
      </c>
      <c r="I57" s="100">
        <v>101.64</v>
      </c>
      <c r="J57" s="100">
        <f>189+126</f>
        <v>315</v>
      </c>
      <c r="K57" s="100">
        <f>H57-I57-J57</f>
        <v>-184.64</v>
      </c>
      <c r="L57" s="351">
        <f>Corr!G47</f>
        <v>1.03275335</v>
      </c>
      <c r="M57" s="329">
        <f>K57*L57</f>
        <v>-190.69</v>
      </c>
      <c r="N57" s="171">
        <f>N54</f>
        <v>35.03</v>
      </c>
      <c r="O57" s="172">
        <f>M57*N57%</f>
        <v>-66.8</v>
      </c>
      <c r="P57" s="172">
        <f>M57+O57</f>
        <v>-257.49</v>
      </c>
    </row>
    <row r="58" spans="1:16" ht="10.5">
      <c r="A58" s="93">
        <v>40179</v>
      </c>
      <c r="B58" s="92" t="s">
        <v>33</v>
      </c>
      <c r="C58" s="339" t="s">
        <v>209</v>
      </c>
      <c r="D58" s="94">
        <v>2.9</v>
      </c>
      <c r="E58" s="101">
        <v>2</v>
      </c>
      <c r="F58" s="94">
        <f>D58*E58</f>
        <v>5.8</v>
      </c>
      <c r="G58" s="358">
        <v>21</v>
      </c>
      <c r="H58" s="94">
        <f>F58*G58</f>
        <v>121.8</v>
      </c>
      <c r="I58" s="354"/>
      <c r="J58" s="354"/>
      <c r="K58" s="354"/>
      <c r="L58" s="355"/>
      <c r="M58" s="354"/>
      <c r="N58" s="356"/>
      <c r="O58" s="357"/>
      <c r="P58" s="357"/>
    </row>
    <row r="59" spans="3:16" ht="10.5">
      <c r="C59" s="95" t="s">
        <v>210</v>
      </c>
      <c r="D59" s="96">
        <v>2.9</v>
      </c>
      <c r="E59" s="102">
        <v>2</v>
      </c>
      <c r="F59" s="96">
        <f>D59*E59</f>
        <v>5.8</v>
      </c>
      <c r="G59" s="359">
        <v>21</v>
      </c>
      <c r="H59" s="94">
        <f>F59*G59</f>
        <v>121.8</v>
      </c>
      <c r="I59" s="354"/>
      <c r="J59" s="354"/>
      <c r="K59" s="354"/>
      <c r="L59" s="355"/>
      <c r="M59" s="354"/>
      <c r="N59" s="356"/>
      <c r="O59" s="357"/>
      <c r="P59" s="357"/>
    </row>
    <row r="60" spans="3:16" ht="10.5">
      <c r="C60" s="99" t="s">
        <v>91</v>
      </c>
      <c r="D60" s="98"/>
      <c r="E60" s="103"/>
      <c r="F60" s="98"/>
      <c r="G60" s="103"/>
      <c r="H60" s="94">
        <f>SUM(H58:H59)</f>
        <v>243.6</v>
      </c>
      <c r="I60" s="100">
        <v>101.64</v>
      </c>
      <c r="J60" s="100">
        <f>138+147.4</f>
        <v>285.4</v>
      </c>
      <c r="K60" s="100">
        <f>H60-I60-J60</f>
        <v>-143.44</v>
      </c>
      <c r="L60" s="351">
        <f>Corr!G48</f>
        <v>1.03275335</v>
      </c>
      <c r="M60" s="329">
        <f>K60*L60</f>
        <v>-148.14</v>
      </c>
      <c r="N60" s="171">
        <f>N57</f>
        <v>35.03</v>
      </c>
      <c r="O60" s="172">
        <f>M60*N60%</f>
        <v>-51.89</v>
      </c>
      <c r="P60" s="172">
        <f>M60+O60</f>
        <v>-200.03</v>
      </c>
    </row>
    <row r="61" spans="1:16" ht="10.5">
      <c r="A61" s="93">
        <v>40210</v>
      </c>
      <c r="B61" s="92" t="s">
        <v>33</v>
      </c>
      <c r="C61" s="339" t="s">
        <v>209</v>
      </c>
      <c r="D61" s="94">
        <v>2.9</v>
      </c>
      <c r="E61" s="101">
        <v>2</v>
      </c>
      <c r="F61" s="94">
        <f>D61*E61</f>
        <v>5.8</v>
      </c>
      <c r="G61" s="358">
        <v>24</v>
      </c>
      <c r="H61" s="94">
        <f>F61*G61</f>
        <v>139.2</v>
      </c>
      <c r="I61" s="354"/>
      <c r="J61" s="354"/>
      <c r="K61" s="354"/>
      <c r="L61" s="355"/>
      <c r="M61" s="354"/>
      <c r="N61" s="356"/>
      <c r="O61" s="357"/>
      <c r="P61" s="357"/>
    </row>
    <row r="62" spans="3:16" ht="10.5">
      <c r="C62" s="95" t="s">
        <v>210</v>
      </c>
      <c r="D62" s="96">
        <v>2.9</v>
      </c>
      <c r="E62" s="102">
        <v>2</v>
      </c>
      <c r="F62" s="96">
        <f>D62*E62</f>
        <v>5.8</v>
      </c>
      <c r="G62" s="359">
        <v>24</v>
      </c>
      <c r="H62" s="94">
        <f>F62*G62</f>
        <v>139.2</v>
      </c>
      <c r="I62" s="354"/>
      <c r="J62" s="354"/>
      <c r="K62" s="354"/>
      <c r="L62" s="355"/>
      <c r="M62" s="354"/>
      <c r="N62" s="356"/>
      <c r="O62" s="357"/>
      <c r="P62" s="357"/>
    </row>
    <row r="63" spans="3:16" ht="10.5">
      <c r="C63" s="99" t="s">
        <v>91</v>
      </c>
      <c r="D63" s="98"/>
      <c r="E63" s="103"/>
      <c r="F63" s="98"/>
      <c r="G63" s="103"/>
      <c r="H63" s="94">
        <f>SUM(H61:H62)</f>
        <v>278.4</v>
      </c>
      <c r="I63" s="100">
        <v>101.64</v>
      </c>
      <c r="J63" s="100">
        <f>147.4+134</f>
        <v>281.4</v>
      </c>
      <c r="K63" s="100">
        <f>H63-I63-J63</f>
        <v>-104.64</v>
      </c>
      <c r="L63" s="351">
        <f>Corr!G49</f>
        <v>1.03275335</v>
      </c>
      <c r="M63" s="329">
        <f>K63*L63</f>
        <v>-108.07</v>
      </c>
      <c r="N63" s="171">
        <f>N60</f>
        <v>35.03</v>
      </c>
      <c r="O63" s="172">
        <f>M63*N63%</f>
        <v>-37.86</v>
      </c>
      <c r="P63" s="172">
        <f>M63+O63</f>
        <v>-145.93</v>
      </c>
    </row>
    <row r="64" spans="1:16" ht="10.5">
      <c r="A64" s="93">
        <v>40238</v>
      </c>
      <c r="B64" s="92" t="s">
        <v>33</v>
      </c>
      <c r="C64" s="339" t="s">
        <v>209</v>
      </c>
      <c r="D64" s="94">
        <v>2.9</v>
      </c>
      <c r="E64" s="101">
        <v>2</v>
      </c>
      <c r="F64" s="94">
        <f>D64*E64</f>
        <v>5.8</v>
      </c>
      <c r="G64" s="358">
        <v>23</v>
      </c>
      <c r="H64" s="94">
        <f>F64*G64</f>
        <v>133.4</v>
      </c>
      <c r="I64" s="354"/>
      <c r="J64" s="354"/>
      <c r="K64" s="354"/>
      <c r="L64" s="355"/>
      <c r="M64" s="354"/>
      <c r="N64" s="356"/>
      <c r="O64" s="357"/>
      <c r="P64" s="357"/>
    </row>
    <row r="65" spans="3:16" ht="10.5">
      <c r="C65" s="95" t="s">
        <v>210</v>
      </c>
      <c r="D65" s="96">
        <v>2.9</v>
      </c>
      <c r="E65" s="102">
        <v>2</v>
      </c>
      <c r="F65" s="96">
        <f>D65*E65</f>
        <v>5.8</v>
      </c>
      <c r="G65" s="359">
        <v>23</v>
      </c>
      <c r="H65" s="94">
        <f>F65*G65</f>
        <v>133.4</v>
      </c>
      <c r="I65" s="354"/>
      <c r="J65" s="354"/>
      <c r="K65" s="354"/>
      <c r="L65" s="355"/>
      <c r="M65" s="354"/>
      <c r="N65" s="356"/>
      <c r="O65" s="357"/>
      <c r="P65" s="357"/>
    </row>
    <row r="66" spans="3:16" ht="10.5">
      <c r="C66" s="99" t="s">
        <v>91</v>
      </c>
      <c r="D66" s="98"/>
      <c r="E66" s="103"/>
      <c r="F66" s="98"/>
      <c r="G66" s="103"/>
      <c r="H66" s="94">
        <f>SUM(H64:H65)</f>
        <v>266.8</v>
      </c>
      <c r="I66" s="100">
        <v>101.64</v>
      </c>
      <c r="J66" s="100">
        <v>201</v>
      </c>
      <c r="K66" s="100">
        <f>H66-I66-J66</f>
        <v>-35.84</v>
      </c>
      <c r="L66" s="351">
        <f>Corr!G50</f>
        <v>1.03193606</v>
      </c>
      <c r="M66" s="329">
        <f>K66*L66</f>
        <v>-36.98</v>
      </c>
      <c r="N66" s="171">
        <f>N63</f>
        <v>35.03</v>
      </c>
      <c r="O66" s="172">
        <f>M66*N66%</f>
        <v>-12.95</v>
      </c>
      <c r="P66" s="172">
        <f>M66+O66</f>
        <v>-49.93</v>
      </c>
    </row>
    <row r="67" spans="1:16" ht="10.5">
      <c r="A67" s="93">
        <v>40269</v>
      </c>
      <c r="B67" s="92" t="s">
        <v>33</v>
      </c>
      <c r="C67" s="339" t="s">
        <v>209</v>
      </c>
      <c r="D67" s="464">
        <v>2.9</v>
      </c>
      <c r="E67" s="101">
        <v>2</v>
      </c>
      <c r="F67" s="94">
        <f>D67*E67</f>
        <v>5.8</v>
      </c>
      <c r="G67" s="358">
        <v>24</v>
      </c>
      <c r="H67" s="94">
        <f>F67*G67</f>
        <v>139.2</v>
      </c>
      <c r="I67" s="354"/>
      <c r="J67" s="354"/>
      <c r="K67" s="354"/>
      <c r="L67" s="355"/>
      <c r="M67" s="354"/>
      <c r="N67" s="356"/>
      <c r="O67" s="357"/>
      <c r="P67" s="357"/>
    </row>
    <row r="68" spans="3:16" ht="10.5">
      <c r="C68" s="95" t="s">
        <v>210</v>
      </c>
      <c r="D68" s="465">
        <v>2.9</v>
      </c>
      <c r="E68" s="102">
        <v>2</v>
      </c>
      <c r="F68" s="96">
        <f>D68*E68</f>
        <v>5.8</v>
      </c>
      <c r="G68" s="359">
        <v>24</v>
      </c>
      <c r="H68" s="94">
        <f>F68*G68</f>
        <v>139.2</v>
      </c>
      <c r="I68" s="354"/>
      <c r="J68" s="354"/>
      <c r="K68" s="354"/>
      <c r="L68" s="355"/>
      <c r="M68" s="354"/>
      <c r="N68" s="356"/>
      <c r="O68" s="357"/>
      <c r="P68" s="357"/>
    </row>
    <row r="69" spans="3:16" ht="10.5">
      <c r="C69" s="99" t="s">
        <v>91</v>
      </c>
      <c r="D69" s="98"/>
      <c r="E69" s="103"/>
      <c r="F69" s="98"/>
      <c r="G69" s="103"/>
      <c r="H69" s="94">
        <f>SUM(H67:H68)</f>
        <v>278.4</v>
      </c>
      <c r="I69" s="100">
        <v>101.64</v>
      </c>
      <c r="J69" s="100">
        <f>187.6+147.4</f>
        <v>335</v>
      </c>
      <c r="K69" s="100">
        <f>H69-I69-J69</f>
        <v>-158.24</v>
      </c>
      <c r="L69" s="351">
        <f>Corr!G51</f>
        <v>1.03193606</v>
      </c>
      <c r="M69" s="329">
        <f>K69*L69</f>
        <v>-163.29</v>
      </c>
      <c r="N69" s="171">
        <f>N66</f>
        <v>35.03</v>
      </c>
      <c r="O69" s="172">
        <f>M69*N69%</f>
        <v>-57.2</v>
      </c>
      <c r="P69" s="172">
        <f>M69+O69</f>
        <v>-220.49</v>
      </c>
    </row>
    <row r="70" spans="1:16" ht="10.5">
      <c r="A70" s="93">
        <v>40299</v>
      </c>
      <c r="B70" s="92" t="s">
        <v>33</v>
      </c>
      <c r="C70" s="339" t="s">
        <v>209</v>
      </c>
      <c r="D70" s="94">
        <v>2.9</v>
      </c>
      <c r="E70" s="101">
        <v>2</v>
      </c>
      <c r="F70" s="94">
        <f>D70*E70</f>
        <v>5.8</v>
      </c>
      <c r="G70" s="358">
        <v>29</v>
      </c>
      <c r="H70" s="94">
        <f>F70*G70</f>
        <v>168.2</v>
      </c>
      <c r="I70" s="354"/>
      <c r="J70" s="354"/>
      <c r="K70" s="354"/>
      <c r="L70" s="355"/>
      <c r="M70" s="354"/>
      <c r="N70" s="356"/>
      <c r="O70" s="357"/>
      <c r="P70" s="357"/>
    </row>
    <row r="71" spans="3:16" ht="10.5">
      <c r="C71" s="95" t="s">
        <v>210</v>
      </c>
      <c r="D71" s="96">
        <v>2.9</v>
      </c>
      <c r="E71" s="102">
        <v>2</v>
      </c>
      <c r="F71" s="96">
        <f>D71*E71</f>
        <v>5.8</v>
      </c>
      <c r="G71" s="359">
        <v>29</v>
      </c>
      <c r="H71" s="94">
        <f>F71*G71</f>
        <v>168.2</v>
      </c>
      <c r="I71" s="354"/>
      <c r="J71" s="354"/>
      <c r="K71" s="354"/>
      <c r="L71" s="355"/>
      <c r="M71" s="354"/>
      <c r="N71" s="356"/>
      <c r="O71" s="357"/>
      <c r="P71" s="357"/>
    </row>
    <row r="72" spans="3:16" ht="10.5">
      <c r="C72" s="99" t="s">
        <v>91</v>
      </c>
      <c r="D72" s="98"/>
      <c r="E72" s="103"/>
      <c r="F72" s="98"/>
      <c r="G72" s="103"/>
      <c r="H72" s="94">
        <f>SUM(H70:H71)</f>
        <v>336.4</v>
      </c>
      <c r="I72" s="100">
        <v>109.82</v>
      </c>
      <c r="J72" s="100">
        <f>227.8+147.4</f>
        <v>375.2</v>
      </c>
      <c r="K72" s="100">
        <f>H72-I72-J72</f>
        <v>-148.62</v>
      </c>
      <c r="L72" s="351">
        <f>Corr!G52</f>
        <v>1.03141004</v>
      </c>
      <c r="M72" s="329">
        <f>K72*L72</f>
        <v>-153.29</v>
      </c>
      <c r="N72" s="171">
        <f>N69</f>
        <v>35.03</v>
      </c>
      <c r="O72" s="172">
        <f>M72*N72%</f>
        <v>-53.7</v>
      </c>
      <c r="P72" s="172">
        <f>M72+O72</f>
        <v>-206.99</v>
      </c>
    </row>
    <row r="73" spans="1:16" ht="10.5">
      <c r="A73" s="93">
        <v>40330</v>
      </c>
      <c r="B73" s="92" t="s">
        <v>33</v>
      </c>
      <c r="C73" s="339" t="s">
        <v>209</v>
      </c>
      <c r="D73" s="94">
        <v>2.9</v>
      </c>
      <c r="E73" s="101">
        <v>2</v>
      </c>
      <c r="F73" s="94">
        <f>D73*E73</f>
        <v>5.8</v>
      </c>
      <c r="G73" s="358">
        <v>27</v>
      </c>
      <c r="H73" s="94">
        <f>F73*G73</f>
        <v>156.6</v>
      </c>
      <c r="I73" s="354"/>
      <c r="J73" s="354"/>
      <c r="K73" s="354"/>
      <c r="L73" s="355"/>
      <c r="M73" s="354"/>
      <c r="N73" s="356"/>
      <c r="O73" s="357"/>
      <c r="P73" s="357"/>
    </row>
    <row r="74" spans="3:16" ht="10.5">
      <c r="C74" s="95" t="s">
        <v>210</v>
      </c>
      <c r="D74" s="96">
        <v>2.9</v>
      </c>
      <c r="E74" s="102">
        <v>2</v>
      </c>
      <c r="F74" s="96">
        <f>D74*E74</f>
        <v>5.8</v>
      </c>
      <c r="G74" s="359">
        <v>27</v>
      </c>
      <c r="H74" s="94">
        <f>F74*G74</f>
        <v>156.6</v>
      </c>
      <c r="I74" s="354"/>
      <c r="J74" s="354"/>
      <c r="K74" s="354"/>
      <c r="L74" s="355"/>
      <c r="M74" s="354"/>
      <c r="N74" s="356"/>
      <c r="O74" s="357"/>
      <c r="P74" s="357"/>
    </row>
    <row r="75" spans="3:16" ht="10.5">
      <c r="C75" s="99" t="s">
        <v>91</v>
      </c>
      <c r="D75" s="98"/>
      <c r="E75" s="103"/>
      <c r="F75" s="98"/>
      <c r="G75" s="103"/>
      <c r="H75" s="94">
        <f>SUM(H73:H74)</f>
        <v>313.2</v>
      </c>
      <c r="I75" s="100">
        <v>109.82</v>
      </c>
      <c r="J75" s="100">
        <f>134+93.8+147.4</f>
        <v>375.2</v>
      </c>
      <c r="K75" s="100">
        <f>H75-I75-J75</f>
        <v>-171.82</v>
      </c>
      <c r="L75" s="351">
        <f>Corr!G53</f>
        <v>1.03080289</v>
      </c>
      <c r="M75" s="329">
        <f>K75*L75</f>
        <v>-177.11</v>
      </c>
      <c r="N75" s="171">
        <f>N72</f>
        <v>35.03</v>
      </c>
      <c r="O75" s="172">
        <f>M75*N75%</f>
        <v>-62.04</v>
      </c>
      <c r="P75" s="172">
        <f>M75+O75</f>
        <v>-239.15</v>
      </c>
    </row>
    <row r="76" spans="1:16" ht="10.5">
      <c r="A76" s="93">
        <v>40360</v>
      </c>
      <c r="B76" s="92" t="s">
        <v>33</v>
      </c>
      <c r="C76" s="339" t="s">
        <v>209</v>
      </c>
      <c r="D76" s="94">
        <v>2.9</v>
      </c>
      <c r="E76" s="101">
        <v>2</v>
      </c>
      <c r="F76" s="94">
        <f>D76*E76</f>
        <v>5.8</v>
      </c>
      <c r="G76" s="358">
        <v>25</v>
      </c>
      <c r="H76" s="94">
        <f>F76*G76</f>
        <v>145</v>
      </c>
      <c r="I76" s="354"/>
      <c r="J76" s="354"/>
      <c r="K76" s="354"/>
      <c r="L76" s="355"/>
      <c r="M76" s="354"/>
      <c r="N76" s="356"/>
      <c r="O76" s="357"/>
      <c r="P76" s="357"/>
    </row>
    <row r="77" spans="3:16" ht="10.5">
      <c r="C77" s="95" t="s">
        <v>210</v>
      </c>
      <c r="D77" s="96">
        <v>2.9</v>
      </c>
      <c r="E77" s="102">
        <v>2</v>
      </c>
      <c r="F77" s="96">
        <f>D77*E77</f>
        <v>5.8</v>
      </c>
      <c r="G77" s="359">
        <v>25</v>
      </c>
      <c r="H77" s="94">
        <f>F77*G77</f>
        <v>145</v>
      </c>
      <c r="I77" s="354"/>
      <c r="J77" s="354"/>
      <c r="K77" s="354"/>
      <c r="L77" s="355"/>
      <c r="M77" s="354"/>
      <c r="N77" s="356"/>
      <c r="O77" s="357"/>
      <c r="P77" s="357"/>
    </row>
    <row r="78" spans="3:16" ht="10.5">
      <c r="C78" s="99" t="s">
        <v>91</v>
      </c>
      <c r="D78" s="98"/>
      <c r="E78" s="103"/>
      <c r="F78" s="98"/>
      <c r="G78" s="103"/>
      <c r="H78" s="94">
        <f>SUM(H76:H77)</f>
        <v>290</v>
      </c>
      <c r="I78" s="100">
        <v>109.82</v>
      </c>
      <c r="J78" s="100">
        <f>134+67+147.4</f>
        <v>348.4</v>
      </c>
      <c r="K78" s="100">
        <f>H78-I78-J78</f>
        <v>-168.22</v>
      </c>
      <c r="L78" s="351">
        <f>Corr!G54</f>
        <v>1.0296178</v>
      </c>
      <c r="M78" s="329">
        <f>K78*L78</f>
        <v>-173.2</v>
      </c>
      <c r="N78" s="171">
        <f>N75</f>
        <v>35.03</v>
      </c>
      <c r="O78" s="172">
        <f>M78*N78%</f>
        <v>-60.67</v>
      </c>
      <c r="P78" s="172">
        <f>M78+O78</f>
        <v>-233.87</v>
      </c>
    </row>
    <row r="79" spans="1:16" ht="10.5">
      <c r="A79" s="93">
        <v>40391</v>
      </c>
      <c r="B79" s="92" t="s">
        <v>33</v>
      </c>
      <c r="C79" s="339" t="s">
        <v>209</v>
      </c>
      <c r="D79" s="94">
        <v>2.9</v>
      </c>
      <c r="E79" s="101">
        <v>2</v>
      </c>
      <c r="F79" s="94">
        <f>D79*E79</f>
        <v>5.8</v>
      </c>
      <c r="G79" s="358">
        <v>30</v>
      </c>
      <c r="H79" s="94">
        <f>F79*G79</f>
        <v>174</v>
      </c>
      <c r="I79" s="354"/>
      <c r="J79" s="354"/>
      <c r="K79" s="354"/>
      <c r="L79" s="355"/>
      <c r="M79" s="354"/>
      <c r="N79" s="356"/>
      <c r="O79" s="357"/>
      <c r="P79" s="357"/>
    </row>
    <row r="80" spans="3:16" ht="10.5">
      <c r="C80" s="95" t="s">
        <v>210</v>
      </c>
      <c r="D80" s="96">
        <v>2.9</v>
      </c>
      <c r="E80" s="102">
        <v>2</v>
      </c>
      <c r="F80" s="96">
        <f>D80*E80</f>
        <v>5.8</v>
      </c>
      <c r="G80" s="359">
        <v>30</v>
      </c>
      <c r="H80" s="94">
        <f>F80*G80</f>
        <v>174</v>
      </c>
      <c r="I80" s="354"/>
      <c r="J80" s="354"/>
      <c r="K80" s="354"/>
      <c r="L80" s="355"/>
      <c r="M80" s="354"/>
      <c r="N80" s="356"/>
      <c r="O80" s="357"/>
      <c r="P80" s="357"/>
    </row>
    <row r="81" spans="3:16" ht="10.5">
      <c r="C81" s="99" t="s">
        <v>91</v>
      </c>
      <c r="D81" s="98"/>
      <c r="E81" s="103"/>
      <c r="F81" s="98"/>
      <c r="G81" s="103"/>
      <c r="H81" s="94">
        <f>SUM(H79:H80)</f>
        <v>348</v>
      </c>
      <c r="I81" s="100">
        <v>109.82</v>
      </c>
      <c r="J81" s="466">
        <v>147.4</v>
      </c>
      <c r="K81" s="100">
        <f>H81-I81-J81</f>
        <v>90.78</v>
      </c>
      <c r="L81" s="351">
        <f>Corr!G55</f>
        <v>1.02868273</v>
      </c>
      <c r="M81" s="329">
        <f>K81*L81</f>
        <v>93.38</v>
      </c>
      <c r="N81" s="171">
        <f>N78</f>
        <v>35.03</v>
      </c>
      <c r="O81" s="172">
        <f>M81*N81%</f>
        <v>32.71</v>
      </c>
      <c r="P81" s="172">
        <f>M81+O81</f>
        <v>126.09</v>
      </c>
    </row>
    <row r="82" spans="1:16" ht="10.5">
      <c r="A82" s="93">
        <v>40422</v>
      </c>
      <c r="B82" s="92" t="s">
        <v>33</v>
      </c>
      <c r="C82" s="339" t="s">
        <v>209</v>
      </c>
      <c r="D82" s="94">
        <v>2.9</v>
      </c>
      <c r="E82" s="101">
        <v>2</v>
      </c>
      <c r="F82" s="94">
        <f>D82*E82</f>
        <v>5.8</v>
      </c>
      <c r="G82" s="358">
        <v>29</v>
      </c>
      <c r="H82" s="94">
        <f>F82*G82</f>
        <v>168.2</v>
      </c>
      <c r="I82" s="354"/>
      <c r="J82" s="354"/>
      <c r="K82" s="354"/>
      <c r="L82" s="355"/>
      <c r="M82" s="354"/>
      <c r="N82" s="356"/>
      <c r="O82" s="357"/>
      <c r="P82" s="357"/>
    </row>
    <row r="83" spans="3:16" ht="10.5">
      <c r="C83" s="95" t="s">
        <v>210</v>
      </c>
      <c r="D83" s="96">
        <v>2.9</v>
      </c>
      <c r="E83" s="102">
        <v>2</v>
      </c>
      <c r="F83" s="96">
        <f>D83*E83</f>
        <v>5.8</v>
      </c>
      <c r="G83" s="359">
        <v>29</v>
      </c>
      <c r="H83" s="94">
        <f>F83*G83</f>
        <v>168.2</v>
      </c>
      <c r="I83" s="354"/>
      <c r="J83" s="354"/>
      <c r="K83" s="354"/>
      <c r="L83" s="355"/>
      <c r="M83" s="354"/>
      <c r="N83" s="356"/>
      <c r="O83" s="357"/>
      <c r="P83" s="357"/>
    </row>
    <row r="84" spans="3:16" ht="10.5">
      <c r="C84" s="99" t="s">
        <v>91</v>
      </c>
      <c r="D84" s="98"/>
      <c r="E84" s="103"/>
      <c r="F84" s="98"/>
      <c r="G84" s="103"/>
      <c r="H84" s="94">
        <f>SUM(H82:H83)</f>
        <v>336.4</v>
      </c>
      <c r="I84" s="100">
        <v>109.82</v>
      </c>
      <c r="J84" s="100">
        <f>214.4+147.4</f>
        <v>361.8</v>
      </c>
      <c r="K84" s="100">
        <f>H84-I84-J84</f>
        <v>-135.22</v>
      </c>
      <c r="L84" s="351">
        <f>Corr!G56</f>
        <v>1.0279611</v>
      </c>
      <c r="M84" s="329">
        <f>K84*L84</f>
        <v>-139</v>
      </c>
      <c r="N84" s="171">
        <f>N81</f>
        <v>35.03</v>
      </c>
      <c r="O84" s="172">
        <f>M84*N84%</f>
        <v>-48.69</v>
      </c>
      <c r="P84" s="172">
        <f>M84+O84</f>
        <v>-187.69</v>
      </c>
    </row>
    <row r="85" spans="1:16" ht="10.5">
      <c r="A85" s="93">
        <v>40452</v>
      </c>
      <c r="B85" s="92" t="s">
        <v>33</v>
      </c>
      <c r="C85" s="339" t="s">
        <v>209</v>
      </c>
      <c r="D85" s="94">
        <v>2.9</v>
      </c>
      <c r="E85" s="101">
        <v>2</v>
      </c>
      <c r="F85" s="94">
        <f>D85*E85</f>
        <v>5.8</v>
      </c>
      <c r="G85" s="358">
        <v>27</v>
      </c>
      <c r="H85" s="94">
        <f>F85*G85</f>
        <v>156.6</v>
      </c>
      <c r="I85" s="354"/>
      <c r="J85" s="354"/>
      <c r="K85" s="354"/>
      <c r="L85" s="355"/>
      <c r="M85" s="354"/>
      <c r="N85" s="356"/>
      <c r="O85" s="357"/>
      <c r="P85" s="357"/>
    </row>
    <row r="86" spans="3:16" ht="10.5">
      <c r="C86" s="95" t="s">
        <v>210</v>
      </c>
      <c r="D86" s="96">
        <v>2.9</v>
      </c>
      <c r="E86" s="102">
        <v>2</v>
      </c>
      <c r="F86" s="96">
        <f>D86*E86</f>
        <v>5.8</v>
      </c>
      <c r="G86" s="359">
        <v>27</v>
      </c>
      <c r="H86" s="94">
        <f>F86*G86</f>
        <v>156.6</v>
      </c>
      <c r="I86" s="354"/>
      <c r="J86" s="354"/>
      <c r="K86" s="354"/>
      <c r="L86" s="355"/>
      <c r="M86" s="354"/>
      <c r="N86" s="356"/>
      <c r="O86" s="357"/>
      <c r="P86" s="357"/>
    </row>
    <row r="87" spans="3:16" ht="10.5">
      <c r="C87" s="99" t="s">
        <v>91</v>
      </c>
      <c r="D87" s="98"/>
      <c r="E87" s="103"/>
      <c r="F87" s="98"/>
      <c r="G87" s="103"/>
      <c r="H87" s="94">
        <f>SUM(H85:H86)</f>
        <v>313.2</v>
      </c>
      <c r="I87" s="100">
        <v>109.82</v>
      </c>
      <c r="J87" s="100">
        <f>241.2+147.4</f>
        <v>388.6</v>
      </c>
      <c r="K87" s="100">
        <f>H87-I87-J87</f>
        <v>-185.22</v>
      </c>
      <c r="L87" s="351">
        <f>Corr!G57</f>
        <v>1.02747613</v>
      </c>
      <c r="M87" s="329">
        <f>K87*L87</f>
        <v>-190.31</v>
      </c>
      <c r="N87" s="171">
        <f>N84</f>
        <v>35.03</v>
      </c>
      <c r="O87" s="172">
        <f>M87*N87%</f>
        <v>-66.67</v>
      </c>
      <c r="P87" s="172">
        <f>M87+O87</f>
        <v>-256.98</v>
      </c>
    </row>
    <row r="88" spans="1:16" ht="10.5">
      <c r="A88" s="93">
        <v>40483</v>
      </c>
      <c r="B88" s="92" t="s">
        <v>33</v>
      </c>
      <c r="C88" s="339" t="s">
        <v>209</v>
      </c>
      <c r="D88" s="94">
        <v>2.9</v>
      </c>
      <c r="E88" s="101">
        <v>2</v>
      </c>
      <c r="F88" s="94">
        <f>D88*E88</f>
        <v>5.8</v>
      </c>
      <c r="G88" s="358">
        <v>26</v>
      </c>
      <c r="H88" s="94">
        <f>F88*G88</f>
        <v>150.8</v>
      </c>
      <c r="I88" s="354"/>
      <c r="J88" s="354"/>
      <c r="K88" s="354"/>
      <c r="L88" s="355"/>
      <c r="M88" s="354"/>
      <c r="N88" s="356"/>
      <c r="O88" s="357"/>
      <c r="P88" s="357"/>
    </row>
    <row r="89" spans="3:16" ht="10.5">
      <c r="C89" s="95" t="s">
        <v>210</v>
      </c>
      <c r="D89" s="96">
        <v>2.9</v>
      </c>
      <c r="E89" s="102">
        <v>2</v>
      </c>
      <c r="F89" s="96">
        <f>D89*E89</f>
        <v>5.8</v>
      </c>
      <c r="G89" s="359">
        <v>26</v>
      </c>
      <c r="H89" s="94">
        <f>F89*G89</f>
        <v>150.8</v>
      </c>
      <c r="I89" s="354"/>
      <c r="J89" s="354"/>
      <c r="K89" s="354"/>
      <c r="L89" s="355"/>
      <c r="M89" s="354"/>
      <c r="N89" s="356"/>
      <c r="O89" s="357"/>
      <c r="P89" s="357"/>
    </row>
    <row r="90" spans="3:16" ht="10.5">
      <c r="C90" s="99" t="s">
        <v>91</v>
      </c>
      <c r="D90" s="98"/>
      <c r="E90" s="103"/>
      <c r="F90" s="98"/>
      <c r="G90" s="103"/>
      <c r="H90" s="94">
        <f>SUM(H88:H89)</f>
        <v>301.6</v>
      </c>
      <c r="I90" s="100">
        <v>109.82</v>
      </c>
      <c r="J90" s="466">
        <f>120.6+227.8</f>
        <v>348.4</v>
      </c>
      <c r="K90" s="100">
        <f>H90-I90-J90</f>
        <v>-156.62</v>
      </c>
      <c r="L90" s="351">
        <f>Corr!G58</f>
        <v>1.02713102</v>
      </c>
      <c r="M90" s="329">
        <f>K90*L90</f>
        <v>-160.87</v>
      </c>
      <c r="N90" s="171">
        <f>N87</f>
        <v>35.03</v>
      </c>
      <c r="O90" s="172">
        <f>M90*N90%</f>
        <v>-56.35</v>
      </c>
      <c r="P90" s="172">
        <f>M90+O90</f>
        <v>-217.22</v>
      </c>
    </row>
    <row r="91" spans="1:16" ht="10.5">
      <c r="A91" s="93">
        <v>40513</v>
      </c>
      <c r="B91" s="92" t="s">
        <v>33</v>
      </c>
      <c r="C91" s="339" t="s">
        <v>209</v>
      </c>
      <c r="D91" s="94">
        <v>2.9</v>
      </c>
      <c r="E91" s="101">
        <v>2</v>
      </c>
      <c r="F91" s="94">
        <f>D91*E91</f>
        <v>5.8</v>
      </c>
      <c r="G91" s="358">
        <v>25</v>
      </c>
      <c r="H91" s="94">
        <f>F91*G91</f>
        <v>145</v>
      </c>
      <c r="I91" s="354"/>
      <c r="J91" s="354"/>
      <c r="K91" s="354"/>
      <c r="L91" s="355"/>
      <c r="M91" s="354"/>
      <c r="N91" s="356"/>
      <c r="O91" s="357"/>
      <c r="P91" s="357"/>
    </row>
    <row r="92" spans="3:16" ht="10.5">
      <c r="C92" s="95" t="s">
        <v>210</v>
      </c>
      <c r="D92" s="96">
        <v>2.9</v>
      </c>
      <c r="E92" s="102">
        <v>2</v>
      </c>
      <c r="F92" s="96">
        <f>D92*E92</f>
        <v>5.8</v>
      </c>
      <c r="G92" s="359">
        <v>25</v>
      </c>
      <c r="H92" s="94">
        <f>F92*G92</f>
        <v>145</v>
      </c>
      <c r="I92" s="354"/>
      <c r="J92" s="354"/>
      <c r="K92" s="354"/>
      <c r="L92" s="355"/>
      <c r="M92" s="354"/>
      <c r="N92" s="356"/>
      <c r="O92" s="357"/>
      <c r="P92" s="357"/>
    </row>
    <row r="93" spans="3:16" ht="10.5">
      <c r="C93" s="99" t="s">
        <v>91</v>
      </c>
      <c r="D93" s="98"/>
      <c r="E93" s="103"/>
      <c r="F93" s="98"/>
      <c r="G93" s="103"/>
      <c r="H93" s="94">
        <f>SUM(H91:H92)</f>
        <v>290</v>
      </c>
      <c r="I93" s="100">
        <v>109.82</v>
      </c>
      <c r="J93" s="100">
        <f>214.4+134</f>
        <v>348.4</v>
      </c>
      <c r="K93" s="100">
        <f>H93-I93-J93</f>
        <v>-168.22</v>
      </c>
      <c r="L93" s="351">
        <f>Corr!H47</f>
        <v>1.0256889</v>
      </c>
      <c r="M93" s="329">
        <f>K93*L93</f>
        <v>-172.54</v>
      </c>
      <c r="N93" s="171">
        <f>N90</f>
        <v>35.03</v>
      </c>
      <c r="O93" s="172">
        <f>M93*N93%</f>
        <v>-60.44</v>
      </c>
      <c r="P93" s="172">
        <f>M93+O93</f>
        <v>-232.98</v>
      </c>
    </row>
    <row r="94" spans="1:16" ht="10.5">
      <c r="A94" s="93">
        <v>40544</v>
      </c>
      <c r="B94" s="92" t="s">
        <v>33</v>
      </c>
      <c r="C94" s="339" t="s">
        <v>209</v>
      </c>
      <c r="D94" s="94">
        <v>2.9</v>
      </c>
      <c r="E94" s="101">
        <v>2</v>
      </c>
      <c r="F94" s="94">
        <f>D94*E94</f>
        <v>5.8</v>
      </c>
      <c r="G94" s="358">
        <v>24</v>
      </c>
      <c r="H94" s="94">
        <f>F94*G94</f>
        <v>139.2</v>
      </c>
      <c r="I94" s="354"/>
      <c r="J94" s="354"/>
      <c r="K94" s="354"/>
      <c r="L94" s="355"/>
      <c r="M94" s="354"/>
      <c r="N94" s="356"/>
      <c r="O94" s="357"/>
      <c r="P94" s="357"/>
    </row>
    <row r="95" spans="3:16" ht="10.5">
      <c r="C95" s="95" t="s">
        <v>210</v>
      </c>
      <c r="D95" s="96">
        <v>2.9</v>
      </c>
      <c r="E95" s="102">
        <v>2</v>
      </c>
      <c r="F95" s="96">
        <f>D95*E95</f>
        <v>5.8</v>
      </c>
      <c r="G95" s="359">
        <v>24</v>
      </c>
      <c r="H95" s="94">
        <f>F95*G95</f>
        <v>139.2</v>
      </c>
      <c r="I95" s="354"/>
      <c r="J95" s="354"/>
      <c r="K95" s="354"/>
      <c r="L95" s="355"/>
      <c r="M95" s="354"/>
      <c r="N95" s="356"/>
      <c r="O95" s="357"/>
      <c r="P95" s="357"/>
    </row>
    <row r="96" spans="3:16" ht="10.5">
      <c r="C96" s="99" t="s">
        <v>91</v>
      </c>
      <c r="D96" s="98"/>
      <c r="E96" s="103"/>
      <c r="F96" s="98"/>
      <c r="G96" s="103"/>
      <c r="H96" s="94">
        <f>SUM(H94:H95)</f>
        <v>278.4</v>
      </c>
      <c r="I96" s="100">
        <v>109.82</v>
      </c>
      <c r="J96" s="100">
        <f>208.8+113</f>
        <v>321.8</v>
      </c>
      <c r="K96" s="100">
        <f>H96-I96-J96</f>
        <v>-153.22</v>
      </c>
      <c r="L96" s="351">
        <f>Corr!H48</f>
        <v>1.02495606</v>
      </c>
      <c r="M96" s="329">
        <f>K96*L96</f>
        <v>-157.04</v>
      </c>
      <c r="N96" s="171">
        <f>N93</f>
        <v>35.03</v>
      </c>
      <c r="O96" s="172">
        <f>M96*N96%</f>
        <v>-55.01</v>
      </c>
      <c r="P96" s="172">
        <f>M96+O96</f>
        <v>-212.05</v>
      </c>
    </row>
    <row r="97" spans="1:16" ht="10.5">
      <c r="A97" s="93">
        <v>40575</v>
      </c>
      <c r="B97" s="92" t="s">
        <v>33</v>
      </c>
      <c r="C97" s="339" t="s">
        <v>209</v>
      </c>
      <c r="D97" s="94">
        <v>2.9</v>
      </c>
      <c r="E97" s="101">
        <v>2</v>
      </c>
      <c r="F97" s="94">
        <f>D97*E97</f>
        <v>5.8</v>
      </c>
      <c r="G97" s="358">
        <v>21</v>
      </c>
      <c r="H97" s="94">
        <f>F97*G97</f>
        <v>121.8</v>
      </c>
      <c r="I97" s="354"/>
      <c r="J97" s="354"/>
      <c r="K97" s="354"/>
      <c r="L97" s="355"/>
      <c r="M97" s="354"/>
      <c r="N97" s="356"/>
      <c r="O97" s="357"/>
      <c r="P97" s="357"/>
    </row>
    <row r="98" spans="3:16" ht="10.5">
      <c r="C98" s="95" t="s">
        <v>210</v>
      </c>
      <c r="D98" s="96">
        <v>2.9</v>
      </c>
      <c r="E98" s="102">
        <v>2</v>
      </c>
      <c r="F98" s="96">
        <f>D98*E98</f>
        <v>5.8</v>
      </c>
      <c r="G98" s="359">
        <v>21</v>
      </c>
      <c r="H98" s="94">
        <f>F98*G98</f>
        <v>121.8</v>
      </c>
      <c r="I98" s="354"/>
      <c r="J98" s="354"/>
      <c r="K98" s="354"/>
      <c r="L98" s="355"/>
      <c r="M98" s="354"/>
      <c r="N98" s="356"/>
      <c r="O98" s="357"/>
      <c r="P98" s="357"/>
    </row>
    <row r="99" spans="3:16" ht="10.5">
      <c r="C99" s="99" t="s">
        <v>91</v>
      </c>
      <c r="D99" s="98"/>
      <c r="E99" s="103"/>
      <c r="F99" s="98"/>
      <c r="G99" s="103"/>
      <c r="H99" s="94">
        <f>SUM(H97:H98)</f>
        <v>243.6</v>
      </c>
      <c r="I99" s="100">
        <v>109.82</v>
      </c>
      <c r="J99" s="100">
        <f>124.3+113</f>
        <v>237.3</v>
      </c>
      <c r="K99" s="100">
        <f>H99-I99-J99</f>
        <v>-103.52</v>
      </c>
      <c r="L99" s="351">
        <f>Corr!H49</f>
        <v>1.02441926</v>
      </c>
      <c r="M99" s="329">
        <f>K99*L99</f>
        <v>-106.05</v>
      </c>
      <c r="N99" s="171">
        <f>N96</f>
        <v>35.03</v>
      </c>
      <c r="O99" s="172">
        <f>M99*N99%</f>
        <v>-37.15</v>
      </c>
      <c r="P99" s="172">
        <f>M99+O99</f>
        <v>-143.2</v>
      </c>
    </row>
    <row r="100" spans="1:16" ht="10.5">
      <c r="A100" s="93">
        <v>40603</v>
      </c>
      <c r="B100" s="92" t="s">
        <v>33</v>
      </c>
      <c r="C100" s="339" t="s">
        <v>209</v>
      </c>
      <c r="D100" s="94">
        <v>2.9</v>
      </c>
      <c r="E100" s="101">
        <v>2</v>
      </c>
      <c r="F100" s="94">
        <f>D100*E100</f>
        <v>5.8</v>
      </c>
      <c r="G100" s="358">
        <v>19</v>
      </c>
      <c r="H100" s="94">
        <f>F100*G100</f>
        <v>110.2</v>
      </c>
      <c r="I100" s="354">
        <v>0</v>
      </c>
      <c r="J100" s="354"/>
      <c r="K100" s="354">
        <v>0</v>
      </c>
      <c r="L100" s="355"/>
      <c r="M100" s="354">
        <f>K100*L100</f>
        <v>0</v>
      </c>
      <c r="N100" s="356">
        <f>N97</f>
        <v>0</v>
      </c>
      <c r="O100" s="357">
        <f>M100*N100%</f>
        <v>0</v>
      </c>
      <c r="P100" s="357">
        <f>M100+O100</f>
        <v>0</v>
      </c>
    </row>
    <row r="101" spans="3:16" ht="10.5">
      <c r="C101" s="95" t="s">
        <v>210</v>
      </c>
      <c r="D101" s="96">
        <v>2.9</v>
      </c>
      <c r="E101" s="102">
        <v>2</v>
      </c>
      <c r="F101" s="96">
        <f>D101*E101</f>
        <v>5.8</v>
      </c>
      <c r="G101" s="359">
        <v>19</v>
      </c>
      <c r="H101" s="94">
        <f>F101*G101</f>
        <v>110.2</v>
      </c>
      <c r="I101" s="354">
        <v>0</v>
      </c>
      <c r="J101" s="354"/>
      <c r="K101" s="354">
        <v>0</v>
      </c>
      <c r="L101" s="355"/>
      <c r="M101" s="354">
        <f>K101*L101</f>
        <v>0</v>
      </c>
      <c r="N101" s="356">
        <f>N98</f>
        <v>0</v>
      </c>
      <c r="O101" s="357">
        <f>M101*N101%</f>
        <v>0</v>
      </c>
      <c r="P101" s="357">
        <f>M101+O101</f>
        <v>0</v>
      </c>
    </row>
    <row r="102" spans="3:16" ht="10.5">
      <c r="C102" s="99" t="s">
        <v>91</v>
      </c>
      <c r="D102" s="98"/>
      <c r="E102" s="103"/>
      <c r="F102" s="98"/>
      <c r="G102" s="103"/>
      <c r="H102" s="94">
        <f>SUM(H100:H101)</f>
        <v>220.4</v>
      </c>
      <c r="I102" s="100">
        <v>109.82</v>
      </c>
      <c r="J102" s="100">
        <f>62.86+98.78</f>
        <v>161.64</v>
      </c>
      <c r="K102" s="100">
        <f>H102-I102-J102</f>
        <v>-51.06</v>
      </c>
      <c r="L102" s="351">
        <f>Corr!H50</f>
        <v>1.02317917</v>
      </c>
      <c r="M102" s="329">
        <f>K102*L102</f>
        <v>-52.24</v>
      </c>
      <c r="N102" s="171">
        <f>N99</f>
        <v>35.03</v>
      </c>
      <c r="O102" s="172">
        <f>M102*N102%</f>
        <v>-18.3</v>
      </c>
      <c r="P102" s="172">
        <f>M102+O102</f>
        <v>-70.54</v>
      </c>
    </row>
    <row r="103" spans="1:16" ht="10.5">
      <c r="A103" s="93">
        <v>40634</v>
      </c>
      <c r="B103" s="92" t="s">
        <v>33</v>
      </c>
      <c r="C103" s="339" t="s">
        <v>209</v>
      </c>
      <c r="D103" s="94">
        <v>2.9</v>
      </c>
      <c r="E103" s="101">
        <v>2</v>
      </c>
      <c r="F103" s="94">
        <f>D103*E103</f>
        <v>5.8</v>
      </c>
      <c r="G103" s="358">
        <v>19</v>
      </c>
      <c r="H103" s="94">
        <f>F103*G103</f>
        <v>110.2</v>
      </c>
      <c r="I103" s="354"/>
      <c r="J103" s="354"/>
      <c r="K103" s="354"/>
      <c r="L103" s="355"/>
      <c r="M103" s="354"/>
      <c r="N103" s="356"/>
      <c r="O103" s="357"/>
      <c r="P103" s="357"/>
    </row>
    <row r="104" spans="3:16" ht="10.5">
      <c r="C104" s="95" t="s">
        <v>210</v>
      </c>
      <c r="D104" s="96">
        <v>2.9</v>
      </c>
      <c r="E104" s="102">
        <v>2</v>
      </c>
      <c r="F104" s="96">
        <f>D104*E104</f>
        <v>5.8</v>
      </c>
      <c r="G104" s="359">
        <v>19</v>
      </c>
      <c r="H104" s="94">
        <f>F104*G104</f>
        <v>110.2</v>
      </c>
      <c r="I104" s="354"/>
      <c r="J104" s="354"/>
      <c r="K104" s="354"/>
      <c r="L104" s="355"/>
      <c r="M104" s="354"/>
      <c r="N104" s="356"/>
      <c r="O104" s="357"/>
      <c r="P104" s="357"/>
    </row>
    <row r="105" spans="3:16" ht="10.5">
      <c r="C105" s="99" t="s">
        <v>91</v>
      </c>
      <c r="D105" s="98"/>
      <c r="E105" s="103"/>
      <c r="F105" s="98"/>
      <c r="G105" s="103"/>
      <c r="H105" s="94">
        <f>SUM(H103:H104)</f>
        <v>220.4</v>
      </c>
      <c r="I105" s="100">
        <v>109.82</v>
      </c>
      <c r="J105" s="100">
        <v>147.02</v>
      </c>
      <c r="K105" s="100">
        <f>H105-I105-J105</f>
        <v>-36.44</v>
      </c>
      <c r="L105" s="351">
        <f>Corr!H51</f>
        <v>1.02280175</v>
      </c>
      <c r="M105" s="329">
        <f>K105*L105</f>
        <v>-37.27</v>
      </c>
      <c r="N105" s="171">
        <f>N102</f>
        <v>35.03</v>
      </c>
      <c r="O105" s="172">
        <f>M105*N105%</f>
        <v>-13.06</v>
      </c>
      <c r="P105" s="172">
        <f>M105+O105</f>
        <v>-50.33</v>
      </c>
    </row>
    <row r="106" spans="1:16" ht="10.5">
      <c r="A106" s="93">
        <v>40664</v>
      </c>
      <c r="B106" s="92" t="s">
        <v>33</v>
      </c>
      <c r="C106" s="339" t="s">
        <v>209</v>
      </c>
      <c r="D106" s="94">
        <v>2.9</v>
      </c>
      <c r="E106" s="101">
        <v>2</v>
      </c>
      <c r="F106" s="94">
        <f>D106*E106</f>
        <v>5.8</v>
      </c>
      <c r="G106" s="358">
        <v>5</v>
      </c>
      <c r="H106" s="94">
        <f>F106*G106</f>
        <v>29</v>
      </c>
      <c r="I106" s="354"/>
      <c r="J106" s="354"/>
      <c r="K106" s="354"/>
      <c r="L106" s="355"/>
      <c r="M106" s="354"/>
      <c r="N106" s="356"/>
      <c r="O106" s="357"/>
      <c r="P106" s="357"/>
    </row>
    <row r="107" spans="3:16" ht="10.5">
      <c r="C107" s="95" t="s">
        <v>210</v>
      </c>
      <c r="D107" s="96">
        <v>2.9</v>
      </c>
      <c r="E107" s="102">
        <v>2</v>
      </c>
      <c r="F107" s="96">
        <f>D107*E107</f>
        <v>5.8</v>
      </c>
      <c r="G107" s="359">
        <v>5</v>
      </c>
      <c r="H107" s="94">
        <f>F107*G107</f>
        <v>29</v>
      </c>
      <c r="I107" s="354"/>
      <c r="J107" s="354"/>
      <c r="K107" s="354"/>
      <c r="L107" s="355"/>
      <c r="M107" s="354"/>
      <c r="N107" s="356"/>
      <c r="O107" s="357"/>
      <c r="P107" s="357"/>
    </row>
    <row r="108" spans="3:16" ht="10.5">
      <c r="C108" s="99" t="s">
        <v>91</v>
      </c>
      <c r="D108" s="98"/>
      <c r="E108" s="103"/>
      <c r="F108" s="98"/>
      <c r="G108" s="103"/>
      <c r="H108" s="94">
        <f>SUM(H106:H107)</f>
        <v>58</v>
      </c>
      <c r="I108" s="100">
        <v>120.52</v>
      </c>
      <c r="J108" s="100">
        <v>0</v>
      </c>
      <c r="K108" s="100">
        <f>H108-I108-J108</f>
        <v>-62.52</v>
      </c>
      <c r="L108" s="351">
        <f>Corr!H52</f>
        <v>1.02119847</v>
      </c>
      <c r="M108" s="329">
        <f>K108*L108</f>
        <v>-63.85</v>
      </c>
      <c r="N108" s="171">
        <f>N105</f>
        <v>35.03</v>
      </c>
      <c r="O108" s="172">
        <f>M108*N108%</f>
        <v>-22.37</v>
      </c>
      <c r="P108" s="172">
        <f>M108+O108</f>
        <v>-86.22</v>
      </c>
    </row>
    <row r="109" spans="1:16" ht="10.5">
      <c r="A109" s="93">
        <v>40695</v>
      </c>
      <c r="B109" s="92" t="s">
        <v>33</v>
      </c>
      <c r="C109" s="339" t="s">
        <v>209</v>
      </c>
      <c r="D109" s="94">
        <v>2.9</v>
      </c>
      <c r="E109" s="101">
        <v>2</v>
      </c>
      <c r="F109" s="94">
        <f>D109*E109</f>
        <v>5.8</v>
      </c>
      <c r="G109" s="358">
        <v>0</v>
      </c>
      <c r="H109" s="94">
        <f>F109*G109</f>
        <v>0</v>
      </c>
      <c r="I109" s="354"/>
      <c r="J109" s="354"/>
      <c r="K109" s="354"/>
      <c r="L109" s="355"/>
      <c r="M109" s="354"/>
      <c r="N109" s="356"/>
      <c r="O109" s="357"/>
      <c r="P109" s="357"/>
    </row>
    <row r="110" spans="3:16" ht="10.5">
      <c r="C110" s="95" t="s">
        <v>210</v>
      </c>
      <c r="D110" s="96">
        <v>2.9</v>
      </c>
      <c r="E110" s="102">
        <v>2</v>
      </c>
      <c r="F110" s="96">
        <f>D110*E110</f>
        <v>5.8</v>
      </c>
      <c r="G110" s="359">
        <v>0</v>
      </c>
      <c r="H110" s="94">
        <f>F110*G110</f>
        <v>0</v>
      </c>
      <c r="I110" s="354"/>
      <c r="J110" s="354"/>
      <c r="K110" s="354"/>
      <c r="L110" s="355"/>
      <c r="M110" s="354"/>
      <c r="N110" s="356"/>
      <c r="O110" s="357"/>
      <c r="P110" s="357"/>
    </row>
    <row r="111" spans="3:16" ht="10.5">
      <c r="C111" s="99" t="s">
        <v>91</v>
      </c>
      <c r="D111" s="98"/>
      <c r="E111" s="103"/>
      <c r="F111" s="98"/>
      <c r="G111" s="103"/>
      <c r="H111" s="94">
        <f>SUM(H109:H110)</f>
        <v>0</v>
      </c>
      <c r="I111" s="100">
        <v>28.12</v>
      </c>
      <c r="J111" s="100">
        <v>0</v>
      </c>
      <c r="K111" s="100">
        <f>H111-I111-J111</f>
        <v>-28.12</v>
      </c>
      <c r="L111" s="351">
        <f>Corr!H53</f>
        <v>1.02006212</v>
      </c>
      <c r="M111" s="329">
        <f>K111*L111</f>
        <v>-28.68</v>
      </c>
      <c r="N111" s="171">
        <f>N108</f>
        <v>35.03</v>
      </c>
      <c r="O111" s="172">
        <f>M111*N111%</f>
        <v>-10.05</v>
      </c>
      <c r="P111" s="172">
        <f>M111+O111</f>
        <v>-38.73</v>
      </c>
    </row>
    <row r="112" spans="1:16" ht="10.5">
      <c r="A112" s="93">
        <v>40725</v>
      </c>
      <c r="B112" s="92" t="s">
        <v>33</v>
      </c>
      <c r="C112" s="339" t="s">
        <v>209</v>
      </c>
      <c r="D112" s="94">
        <v>2.9</v>
      </c>
      <c r="E112" s="101">
        <v>2</v>
      </c>
      <c r="F112" s="94">
        <f>D112*E112</f>
        <v>5.8</v>
      </c>
      <c r="G112" s="358">
        <v>0</v>
      </c>
      <c r="H112" s="94">
        <f>F112*G112</f>
        <v>0</v>
      </c>
      <c r="I112" s="354"/>
      <c r="J112" s="354"/>
      <c r="K112" s="354"/>
      <c r="L112" s="355"/>
      <c r="M112" s="354"/>
      <c r="N112" s="356"/>
      <c r="O112" s="357"/>
      <c r="P112" s="357"/>
    </row>
    <row r="113" spans="3:16" ht="10.5">
      <c r="C113" s="95" t="s">
        <v>210</v>
      </c>
      <c r="D113" s="96">
        <v>2.9</v>
      </c>
      <c r="E113" s="102">
        <v>2</v>
      </c>
      <c r="F113" s="96">
        <f>D113*E113</f>
        <v>5.8</v>
      </c>
      <c r="G113" s="359">
        <v>0</v>
      </c>
      <c r="H113" s="94">
        <f>F113*G113</f>
        <v>0</v>
      </c>
      <c r="I113" s="354"/>
      <c r="J113" s="354"/>
      <c r="K113" s="354"/>
      <c r="L113" s="355"/>
      <c r="M113" s="354"/>
      <c r="N113" s="356"/>
      <c r="O113" s="357"/>
      <c r="P113" s="357"/>
    </row>
    <row r="114" spans="3:17" ht="10.5">
      <c r="C114" s="99" t="s">
        <v>91</v>
      </c>
      <c r="D114" s="98"/>
      <c r="E114" s="103"/>
      <c r="F114" s="98"/>
      <c r="G114" s="103"/>
      <c r="H114" s="353">
        <f>SUM(H112:H113)</f>
        <v>0</v>
      </c>
      <c r="I114" s="94">
        <v>93.3</v>
      </c>
      <c r="J114" s="94">
        <v>0</v>
      </c>
      <c r="K114" s="100">
        <f>H114-I114-J114</f>
        <v>-93.3</v>
      </c>
      <c r="L114" s="351">
        <f>Corr!H54</f>
        <v>1.01881001</v>
      </c>
      <c r="M114" s="329">
        <f>K114*L114</f>
        <v>-95.05</v>
      </c>
      <c r="N114" s="171">
        <f>N111</f>
        <v>35.03</v>
      </c>
      <c r="O114" s="172">
        <f>M114*N114%</f>
        <v>-33.3</v>
      </c>
      <c r="P114" s="172">
        <f>M114+O114</f>
        <v>-128.35</v>
      </c>
      <c r="Q114" s="360"/>
    </row>
    <row r="116" ht="4.5" customHeight="1"/>
    <row r="117" spans="8:16" s="361" customFormat="1" ht="10.5">
      <c r="H117" s="364">
        <f>H24+H27+H30+H33+H36+H39+H42+H45+H48+H51+H54+H57+H60+H63+H66+H69+H72+H75+H78+H81+H84+H87+H90+H93+H96+H99+H102+H105+H108+H111+H114</f>
        <v>7487.8</v>
      </c>
      <c r="I117" s="364">
        <f>SUM(I22:I114)</f>
        <v>3126.37</v>
      </c>
      <c r="J117" s="364">
        <f>SUM(J22:J114)</f>
        <v>6792.26</v>
      </c>
      <c r="K117" s="364">
        <f>SUM(K22:K114)</f>
        <v>-2430.83</v>
      </c>
      <c r="L117" s="362"/>
      <c r="M117" s="364">
        <f>SUM(M22:M114)</f>
        <v>-2501.47</v>
      </c>
      <c r="N117" s="363"/>
      <c r="O117" s="365">
        <f>SUM(O22:O114)</f>
        <v>-876.26</v>
      </c>
      <c r="P117" s="364">
        <f>SUM(P22:P114)</f>
        <v>-3377.73</v>
      </c>
    </row>
    <row r="119" ht="8.25" customHeight="1"/>
    <row r="120" spans="11:12" ht="10.5">
      <c r="K120" s="132"/>
      <c r="L120" s="132" t="s">
        <v>457</v>
      </c>
    </row>
    <row r="121" spans="11:12" ht="12.75">
      <c r="K121" s="613" t="s">
        <v>458</v>
      </c>
      <c r="L121" s="132"/>
    </row>
  </sheetData>
  <sheetProtection/>
  <mergeCells count="1">
    <mergeCell ref="A13:C13"/>
  </mergeCells>
  <printOptions/>
  <pageMargins left="0.7086614173228347" right="0.31496062992125984" top="0.6692913385826772" bottom="0.35433070866141736" header="0.2362204724409449" footer="0.15748031496062992"/>
  <pageSetup horizontalDpi="300" verticalDpi="300" orientation="landscape" paperSize="9" r:id="rId1"/>
  <headerFooter alignWithMargins="0">
    <oddHeader>&amp;R
Anexo: 11
Folha: 0&amp;P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1">
      <selection activeCell="A1" sqref="A1:IV3"/>
    </sheetView>
  </sheetViews>
  <sheetFormatPr defaultColWidth="9.33203125" defaultRowHeight="10.5"/>
  <cols>
    <col min="1" max="1" width="8.83203125" style="446" customWidth="1"/>
    <col min="2" max="2" width="12.5" style="446" customWidth="1"/>
    <col min="3" max="3" width="12.66015625" style="446" customWidth="1"/>
    <col min="4" max="4" width="14.33203125" style="446" customWidth="1"/>
    <col min="5" max="5" width="11.5" style="446" customWidth="1"/>
    <col min="6" max="6" width="12.66015625" style="446" customWidth="1"/>
    <col min="7" max="7" width="12.5" style="446" customWidth="1"/>
    <col min="8" max="8" width="14.83203125" style="446" customWidth="1"/>
    <col min="9" max="16384" width="9.33203125" style="446" customWidth="1"/>
  </cols>
  <sheetData>
    <row r="1" spans="1:4" s="611" customFormat="1" ht="14.25" customHeight="1">
      <c r="A1" s="610" t="s">
        <v>464</v>
      </c>
      <c r="B1" s="610"/>
      <c r="C1" s="610"/>
      <c r="D1" s="610"/>
    </row>
    <row r="2" spans="1:4" s="107" customFormat="1" ht="10.5" customHeight="1">
      <c r="A2" s="132"/>
      <c r="B2" s="612"/>
      <c r="C2" s="132"/>
      <c r="D2" s="132"/>
    </row>
    <row r="3" spans="1:4" s="107" customFormat="1" ht="10.5" customHeight="1">
      <c r="A3" s="132"/>
      <c r="B3" s="612"/>
      <c r="C3" s="132"/>
      <c r="D3" s="132"/>
    </row>
    <row r="4" spans="1:7" ht="10.5">
      <c r="A4" s="390" t="s">
        <v>272</v>
      </c>
      <c r="B4" s="390"/>
      <c r="C4" s="390"/>
      <c r="D4" s="390"/>
      <c r="E4" s="390"/>
      <c r="F4" s="390"/>
      <c r="G4" s="390"/>
    </row>
    <row r="5" spans="1:7" ht="10.5">
      <c r="A5" s="390"/>
      <c r="B5" s="390"/>
      <c r="C5" s="390"/>
      <c r="D5" s="390"/>
      <c r="E5" s="390"/>
      <c r="F5" s="390"/>
      <c r="G5" s="390"/>
    </row>
    <row r="6" spans="1:4" s="176" customFormat="1" ht="11.25" customHeight="1">
      <c r="A6" s="175" t="s">
        <v>451</v>
      </c>
      <c r="B6" s="53"/>
      <c r="C6" s="288"/>
      <c r="D6" s="107"/>
    </row>
    <row r="7" spans="1:4" s="176" customFormat="1" ht="11.25" customHeight="1">
      <c r="A7" s="173" t="s">
        <v>453</v>
      </c>
      <c r="B7" s="16"/>
      <c r="C7" s="294"/>
      <c r="D7" s="107"/>
    </row>
    <row r="8" spans="1:4" s="176" customFormat="1" ht="11.25" customHeight="1">
      <c r="A8" s="173" t="s">
        <v>454</v>
      </c>
      <c r="B8" s="16"/>
      <c r="C8" s="294"/>
      <c r="D8" s="107"/>
    </row>
    <row r="9" spans="1:4" s="176" customFormat="1" ht="11.25" customHeight="1">
      <c r="A9" s="173" t="s">
        <v>452</v>
      </c>
      <c r="B9" s="16"/>
      <c r="C9" s="294"/>
      <c r="D9" s="107"/>
    </row>
    <row r="10" spans="1:4" s="176" customFormat="1" ht="11.25" customHeight="1">
      <c r="A10" s="175" t="s">
        <v>455</v>
      </c>
      <c r="B10" s="53"/>
      <c r="C10" s="288"/>
      <c r="D10" s="107"/>
    </row>
    <row r="11" spans="1:4" s="176" customFormat="1" ht="11.25" customHeight="1">
      <c r="A11" s="173" t="s">
        <v>235</v>
      </c>
      <c r="B11" s="16"/>
      <c r="C11" s="294"/>
      <c r="D11" s="107"/>
    </row>
    <row r="12" spans="1:4" s="176" customFormat="1" ht="11.25" customHeight="1">
      <c r="A12" s="173" t="s">
        <v>236</v>
      </c>
      <c r="B12" s="16"/>
      <c r="C12" s="294"/>
      <c r="D12" s="107"/>
    </row>
    <row r="13" spans="1:6" s="176" customFormat="1" ht="15" customHeight="1" thickBot="1">
      <c r="A13" s="173"/>
      <c r="B13" s="16"/>
      <c r="C13" s="294"/>
      <c r="D13" s="107"/>
      <c r="E13" s="294"/>
      <c r="F13" s="294"/>
    </row>
    <row r="14" spans="1:8" ht="12" thickBot="1" thickTop="1">
      <c r="A14" s="392" t="s">
        <v>3</v>
      </c>
      <c r="B14" s="393" t="s">
        <v>4</v>
      </c>
      <c r="C14" s="393" t="s">
        <v>5</v>
      </c>
      <c r="D14" s="393" t="s">
        <v>6</v>
      </c>
      <c r="E14" s="393" t="s">
        <v>7</v>
      </c>
      <c r="F14" s="393" t="s">
        <v>8</v>
      </c>
      <c r="G14" s="393" t="s">
        <v>9</v>
      </c>
      <c r="H14" s="393" t="s">
        <v>10</v>
      </c>
    </row>
    <row r="15" spans="1:8" ht="12" thickBot="1" thickTop="1">
      <c r="A15" s="447"/>
      <c r="B15" s="395"/>
      <c r="C15" s="395"/>
      <c r="D15" s="395"/>
      <c r="E15" s="395"/>
      <c r="F15" s="395"/>
      <c r="G15" s="395"/>
      <c r="H15" s="395"/>
    </row>
    <row r="16" spans="1:8" ht="10.5" customHeight="1" thickTop="1">
      <c r="A16" s="400" t="s">
        <v>1</v>
      </c>
      <c r="B16" s="448" t="s">
        <v>278</v>
      </c>
      <c r="C16" s="403" t="s">
        <v>273</v>
      </c>
      <c r="D16" s="448" t="s">
        <v>281</v>
      </c>
      <c r="E16" s="448" t="s">
        <v>284</v>
      </c>
      <c r="F16" s="448" t="s">
        <v>284</v>
      </c>
      <c r="G16" s="448" t="s">
        <v>192</v>
      </c>
      <c r="H16" s="449" t="s">
        <v>0</v>
      </c>
    </row>
    <row r="17" spans="1:8" ht="11.25" customHeight="1">
      <c r="A17" s="406"/>
      <c r="B17" s="450" t="s">
        <v>100</v>
      </c>
      <c r="C17" s="409" t="s">
        <v>274</v>
      </c>
      <c r="D17" s="450" t="s">
        <v>282</v>
      </c>
      <c r="E17" s="450" t="s">
        <v>285</v>
      </c>
      <c r="F17" s="450" t="s">
        <v>288</v>
      </c>
      <c r="G17" s="450" t="s">
        <v>205</v>
      </c>
      <c r="H17" s="451"/>
    </row>
    <row r="18" spans="1:8" ht="12" customHeight="1">
      <c r="A18" s="406"/>
      <c r="B18" s="450" t="s">
        <v>48</v>
      </c>
      <c r="C18" s="450" t="s">
        <v>279</v>
      </c>
      <c r="D18" s="450" t="s">
        <v>283</v>
      </c>
      <c r="E18" s="450" t="s">
        <v>286</v>
      </c>
      <c r="F18" s="450" t="s">
        <v>289</v>
      </c>
      <c r="G18" s="450"/>
      <c r="H18" s="451"/>
    </row>
    <row r="19" spans="1:8" ht="11.25" customHeight="1">
      <c r="A19" s="406"/>
      <c r="B19" s="450" t="s">
        <v>292</v>
      </c>
      <c r="C19" s="450" t="s">
        <v>280</v>
      </c>
      <c r="D19" s="450"/>
      <c r="E19" s="450" t="s">
        <v>287</v>
      </c>
      <c r="F19" s="450" t="s">
        <v>290</v>
      </c>
      <c r="G19" s="450"/>
      <c r="H19" s="451"/>
    </row>
    <row r="20" spans="1:8" ht="10.5">
      <c r="A20" s="406"/>
      <c r="B20" s="450" t="s">
        <v>104</v>
      </c>
      <c r="C20" s="409"/>
      <c r="D20" s="450"/>
      <c r="E20" s="450" t="s">
        <v>279</v>
      </c>
      <c r="F20" s="450" t="s">
        <v>291</v>
      </c>
      <c r="G20" s="409"/>
      <c r="H20" s="452"/>
    </row>
    <row r="21" spans="1:8" ht="11.25" thickBot="1">
      <c r="A21" s="421"/>
      <c r="B21" s="453" t="s">
        <v>177</v>
      </c>
      <c r="C21" s="453"/>
      <c r="D21" s="453"/>
      <c r="E21" s="453"/>
      <c r="F21" s="453"/>
      <c r="G21" s="453"/>
      <c r="H21" s="454" t="s">
        <v>277</v>
      </c>
    </row>
    <row r="22" ht="11.25" thickTop="1"/>
    <row r="23" spans="1:8" ht="10.5">
      <c r="A23" s="305">
        <v>39814</v>
      </c>
      <c r="B23" s="482">
        <v>1416.37</v>
      </c>
      <c r="C23" s="430">
        <f>'02'!K22</f>
        <v>49.82</v>
      </c>
      <c r="D23" s="430">
        <f>'03'!G22</f>
        <v>0</v>
      </c>
      <c r="E23" s="430">
        <f>'04'!G22</f>
        <v>41.43</v>
      </c>
      <c r="F23" s="430">
        <f>'05'!K22</f>
        <v>0</v>
      </c>
      <c r="G23" s="430">
        <v>0</v>
      </c>
      <c r="H23" s="455">
        <f>C23+D23+E23+F23+G23</f>
        <v>91.25</v>
      </c>
    </row>
    <row r="24" spans="1:8" ht="10.5">
      <c r="A24" s="305">
        <v>39845</v>
      </c>
      <c r="B24" s="482">
        <v>1843.83</v>
      </c>
      <c r="C24" s="430">
        <f>'02'!K23</f>
        <v>0</v>
      </c>
      <c r="D24" s="430">
        <f>'03'!G23</f>
        <v>0</v>
      </c>
      <c r="E24" s="430">
        <f>'04'!G23</f>
        <v>47.17</v>
      </c>
      <c r="F24" s="430">
        <f>'05'!K23</f>
        <v>0</v>
      </c>
      <c r="G24" s="430">
        <v>0</v>
      </c>
      <c r="H24" s="455">
        <f aca="true" t="shared" si="0" ref="H24:H56">C24+D24+E24+F24+G24</f>
        <v>47.17</v>
      </c>
    </row>
    <row r="25" spans="1:8" ht="10.5">
      <c r="A25" s="305">
        <v>39873</v>
      </c>
      <c r="B25" s="482">
        <v>1749.12</v>
      </c>
      <c r="C25" s="430">
        <f>'02'!K24</f>
        <v>136.84</v>
      </c>
      <c r="D25" s="430">
        <f>'03'!G24</f>
        <v>0</v>
      </c>
      <c r="E25" s="430">
        <f>'04'!G24</f>
        <v>44.06</v>
      </c>
      <c r="F25" s="430">
        <f>'05'!K24</f>
        <v>0</v>
      </c>
      <c r="G25" s="430">
        <v>0</v>
      </c>
      <c r="H25" s="455">
        <f t="shared" si="0"/>
        <v>180.9</v>
      </c>
    </row>
    <row r="26" spans="1:8" ht="10.5">
      <c r="A26" s="305">
        <v>39904</v>
      </c>
      <c r="B26" s="482">
        <v>2638.29</v>
      </c>
      <c r="C26" s="430">
        <f>'02'!K25</f>
        <v>0</v>
      </c>
      <c r="D26" s="430">
        <f>'03'!G25</f>
        <v>0</v>
      </c>
      <c r="E26" s="430">
        <f>'04'!G25</f>
        <v>147.09</v>
      </c>
      <c r="F26" s="430">
        <f>'05'!K25</f>
        <v>0</v>
      </c>
      <c r="G26" s="430">
        <v>0</v>
      </c>
      <c r="H26" s="455">
        <f t="shared" si="0"/>
        <v>147.09</v>
      </c>
    </row>
    <row r="27" spans="1:8" ht="10.5">
      <c r="A27" s="305">
        <v>39934</v>
      </c>
      <c r="B27" s="482">
        <v>2987.89</v>
      </c>
      <c r="C27" s="430">
        <f>'02'!K26</f>
        <v>0</v>
      </c>
      <c r="D27" s="430">
        <f>'03'!G26</f>
        <v>0</v>
      </c>
      <c r="E27" s="430">
        <f>'04'!G26</f>
        <v>0</v>
      </c>
      <c r="F27" s="430">
        <f>'05'!K26</f>
        <v>0</v>
      </c>
      <c r="G27" s="430">
        <v>0</v>
      </c>
      <c r="H27" s="455">
        <f t="shared" si="0"/>
        <v>0</v>
      </c>
    </row>
    <row r="28" spans="1:8" ht="10.5">
      <c r="A28" s="305">
        <v>39965</v>
      </c>
      <c r="B28" s="482">
        <v>2496.87</v>
      </c>
      <c r="C28" s="430">
        <f>'02'!K27</f>
        <v>0</v>
      </c>
      <c r="D28" s="430">
        <f>'03'!G27</f>
        <v>0</v>
      </c>
      <c r="E28" s="430">
        <f>'04'!G27</f>
        <v>0</v>
      </c>
      <c r="F28" s="430">
        <f>'05'!K27</f>
        <v>0</v>
      </c>
      <c r="G28" s="430">
        <v>0</v>
      </c>
      <c r="H28" s="455">
        <f t="shared" si="0"/>
        <v>0</v>
      </c>
    </row>
    <row r="29" spans="1:8" ht="10.5">
      <c r="A29" s="305">
        <v>39995</v>
      </c>
      <c r="B29" s="482">
        <v>2542.69</v>
      </c>
      <c r="C29" s="430">
        <f>'02'!K28</f>
        <v>0</v>
      </c>
      <c r="D29" s="430">
        <f>'03'!G28</f>
        <v>0</v>
      </c>
      <c r="E29" s="430">
        <f>'04'!G28</f>
        <v>0</v>
      </c>
      <c r="F29" s="430">
        <f>'05'!K28</f>
        <v>0</v>
      </c>
      <c r="G29" s="430">
        <v>0</v>
      </c>
      <c r="H29" s="455">
        <f t="shared" si="0"/>
        <v>0</v>
      </c>
    </row>
    <row r="30" spans="1:8" ht="10.5">
      <c r="A30" s="305">
        <v>40026</v>
      </c>
      <c r="B30" s="482">
        <v>2684.77</v>
      </c>
      <c r="C30" s="430">
        <f>'02'!K29</f>
        <v>0</v>
      </c>
      <c r="D30" s="430">
        <f>'03'!G29</f>
        <v>0</v>
      </c>
      <c r="E30" s="430">
        <f>'04'!G29</f>
        <v>116.4</v>
      </c>
      <c r="F30" s="430">
        <f>'05'!K29</f>
        <v>0</v>
      </c>
      <c r="G30" s="430">
        <v>0</v>
      </c>
      <c r="H30" s="455">
        <f t="shared" si="0"/>
        <v>116.4</v>
      </c>
    </row>
    <row r="31" spans="1:8" ht="10.5">
      <c r="A31" s="305">
        <v>40057</v>
      </c>
      <c r="B31" s="482">
        <f>1411.67+282.33+930.16+346.5+255.33</f>
        <v>3225.99</v>
      </c>
      <c r="C31" s="430">
        <f>'02'!K30</f>
        <v>0</v>
      </c>
      <c r="D31" s="430">
        <f>'03'!G30</f>
        <v>0</v>
      </c>
      <c r="E31" s="430">
        <f>'04'!G30</f>
        <v>217.43</v>
      </c>
      <c r="F31" s="430">
        <f>'05'!K30</f>
        <v>0</v>
      </c>
      <c r="G31" s="430">
        <v>0</v>
      </c>
      <c r="H31" s="455">
        <f t="shared" si="0"/>
        <v>217.43</v>
      </c>
    </row>
    <row r="32" spans="1:8" ht="10.5">
      <c r="A32" s="305">
        <v>40087</v>
      </c>
      <c r="B32" s="482">
        <v>1985.49</v>
      </c>
      <c r="C32" s="430">
        <f>'02'!K31</f>
        <v>28.34</v>
      </c>
      <c r="D32" s="430">
        <f>'03'!G31</f>
        <v>0</v>
      </c>
      <c r="E32" s="430">
        <f>'04'!G31</f>
        <v>43.36</v>
      </c>
      <c r="F32" s="430">
        <f>'05'!K31</f>
        <v>0</v>
      </c>
      <c r="G32" s="430">
        <v>0</v>
      </c>
      <c r="H32" s="455">
        <f t="shared" si="0"/>
        <v>71.7</v>
      </c>
    </row>
    <row r="33" spans="1:8" ht="10.5">
      <c r="A33" s="305">
        <v>40118</v>
      </c>
      <c r="B33" s="482">
        <v>2976.05</v>
      </c>
      <c r="C33" s="430">
        <f>'02'!K32</f>
        <v>0</v>
      </c>
      <c r="D33" s="430">
        <f>'03'!G32</f>
        <v>0</v>
      </c>
      <c r="E33" s="430">
        <f>'04'!G32</f>
        <v>80.08</v>
      </c>
      <c r="F33" s="430">
        <f>'05'!K32</f>
        <v>0</v>
      </c>
      <c r="G33" s="430">
        <v>0</v>
      </c>
      <c r="H33" s="455">
        <f t="shared" si="0"/>
        <v>80.08</v>
      </c>
    </row>
    <row r="34" spans="1:8" ht="10.5">
      <c r="A34" s="305">
        <v>40148</v>
      </c>
      <c r="B34" s="482">
        <v>1995.08</v>
      </c>
      <c r="C34" s="430">
        <f>'02'!K33</f>
        <v>86.24</v>
      </c>
      <c r="D34" s="430">
        <f>'03'!G33</f>
        <v>0</v>
      </c>
      <c r="E34" s="430">
        <f>'04'!G33</f>
        <v>40.28</v>
      </c>
      <c r="F34" s="430">
        <f>'05'!K33</f>
        <v>26.18</v>
      </c>
      <c r="G34" s="430">
        <v>0</v>
      </c>
      <c r="H34" s="455">
        <f t="shared" si="0"/>
        <v>152.7</v>
      </c>
    </row>
    <row r="35" spans="1:8" ht="10.5">
      <c r="A35" s="459" t="s">
        <v>294</v>
      </c>
      <c r="B35" s="482">
        <v>2724.99</v>
      </c>
      <c r="C35" s="430">
        <v>0</v>
      </c>
      <c r="D35" s="430">
        <f>'03'!G34</f>
        <v>0</v>
      </c>
      <c r="E35" s="430">
        <v>0</v>
      </c>
      <c r="F35" s="430">
        <f>'05'!K34</f>
        <v>0</v>
      </c>
      <c r="G35" s="430">
        <v>0</v>
      </c>
      <c r="H35" s="455">
        <f t="shared" si="0"/>
        <v>0</v>
      </c>
    </row>
    <row r="36" spans="1:8" ht="10.5">
      <c r="A36" s="305">
        <v>40179</v>
      </c>
      <c r="B36" s="482">
        <v>2506.02</v>
      </c>
      <c r="C36" s="430">
        <f>'02'!K34</f>
        <v>0</v>
      </c>
      <c r="D36" s="430">
        <f>'03'!G35</f>
        <v>0</v>
      </c>
      <c r="E36" s="430">
        <f>'04'!G34</f>
        <v>71.93</v>
      </c>
      <c r="F36" s="430">
        <f>'05'!K35</f>
        <v>0</v>
      </c>
      <c r="G36" s="430">
        <v>0</v>
      </c>
      <c r="H36" s="455">
        <f t="shared" si="0"/>
        <v>71.93</v>
      </c>
    </row>
    <row r="37" spans="1:8" ht="10.5">
      <c r="A37" s="305">
        <v>40210</v>
      </c>
      <c r="B37" s="482">
        <v>2738.12</v>
      </c>
      <c r="C37" s="430">
        <f>'02'!K35</f>
        <v>0</v>
      </c>
      <c r="D37" s="430">
        <f>'03'!G36</f>
        <v>0</v>
      </c>
      <c r="E37" s="430">
        <f>'04'!G35</f>
        <v>68.38</v>
      </c>
      <c r="F37" s="430">
        <f>'05'!K36</f>
        <v>0</v>
      </c>
      <c r="G37" s="430">
        <v>0</v>
      </c>
      <c r="H37" s="455">
        <f t="shared" si="0"/>
        <v>68.38</v>
      </c>
    </row>
    <row r="38" spans="1:8" ht="10.5">
      <c r="A38" s="305">
        <v>40238</v>
      </c>
      <c r="B38" s="482">
        <v>2554.98</v>
      </c>
      <c r="C38" s="430">
        <f>'02'!K36</f>
        <v>0</v>
      </c>
      <c r="D38" s="430">
        <f>'03'!G37</f>
        <v>0</v>
      </c>
      <c r="E38" s="430">
        <f>'04'!G36</f>
        <v>0</v>
      </c>
      <c r="F38" s="430">
        <f>'05'!K37</f>
        <v>0</v>
      </c>
      <c r="G38" s="430">
        <v>0</v>
      </c>
      <c r="H38" s="455">
        <f t="shared" si="0"/>
        <v>0</v>
      </c>
    </row>
    <row r="39" spans="1:8" ht="10.5">
      <c r="A39" s="305">
        <v>40269</v>
      </c>
      <c r="B39" s="482">
        <v>2773.23</v>
      </c>
      <c r="C39" s="430">
        <f>'02'!K37</f>
        <v>0</v>
      </c>
      <c r="D39" s="430">
        <f>'03'!G38</f>
        <v>3.08</v>
      </c>
      <c r="E39" s="430">
        <f>'04'!G37</f>
        <v>165.61</v>
      </c>
      <c r="F39" s="430">
        <f>'05'!K38</f>
        <v>0</v>
      </c>
      <c r="G39" s="430">
        <v>0</v>
      </c>
      <c r="H39" s="455">
        <f t="shared" si="0"/>
        <v>168.69</v>
      </c>
    </row>
    <row r="40" spans="1:8" ht="10.5">
      <c r="A40" s="305">
        <v>40299</v>
      </c>
      <c r="B40" s="482">
        <v>3416.54</v>
      </c>
      <c r="C40" s="430">
        <f>'02'!K38</f>
        <v>87.6</v>
      </c>
      <c r="D40" s="430">
        <f>'03'!G39</f>
        <v>33.78</v>
      </c>
      <c r="E40" s="430">
        <f>'04'!G38</f>
        <v>335.86</v>
      </c>
      <c r="F40" s="430">
        <f>'05'!K39</f>
        <v>0</v>
      </c>
      <c r="G40" s="430">
        <v>0</v>
      </c>
      <c r="H40" s="455">
        <f t="shared" si="0"/>
        <v>457.24</v>
      </c>
    </row>
    <row r="41" spans="1:8" ht="10.5">
      <c r="A41" s="305">
        <v>40330</v>
      </c>
      <c r="B41" s="482">
        <v>2684.8</v>
      </c>
      <c r="C41" s="430">
        <f>'02'!K39</f>
        <v>215.4</v>
      </c>
      <c r="D41" s="430">
        <f>'03'!G40</f>
        <v>39.69</v>
      </c>
      <c r="E41" s="430">
        <f>'04'!G39</f>
        <v>197.93</v>
      </c>
      <c r="F41" s="430">
        <f>'05'!K40</f>
        <v>0</v>
      </c>
      <c r="G41" s="430">
        <v>0</v>
      </c>
      <c r="H41" s="455">
        <f t="shared" si="0"/>
        <v>453.02</v>
      </c>
    </row>
    <row r="42" spans="1:8" ht="10.5">
      <c r="A42" s="305">
        <v>40360</v>
      </c>
      <c r="B42" s="482">
        <v>3116.53</v>
      </c>
      <c r="C42" s="430">
        <f>'02'!K40</f>
        <v>21.05</v>
      </c>
      <c r="D42" s="430">
        <f>'03'!G41</f>
        <v>0</v>
      </c>
      <c r="E42" s="430">
        <f>'04'!G40</f>
        <v>114.48</v>
      </c>
      <c r="F42" s="430">
        <f>'05'!K41</f>
        <v>0</v>
      </c>
      <c r="G42" s="430">
        <v>0</v>
      </c>
      <c r="H42" s="455">
        <f t="shared" si="0"/>
        <v>135.53</v>
      </c>
    </row>
    <row r="43" spans="1:8" ht="10.5">
      <c r="A43" s="305">
        <v>40391</v>
      </c>
      <c r="B43" s="482">
        <v>3451.84</v>
      </c>
      <c r="C43" s="430">
        <f>'02'!K41</f>
        <v>327.06</v>
      </c>
      <c r="D43" s="430">
        <f>'03'!G42</f>
        <v>3.58</v>
      </c>
      <c r="E43" s="430">
        <f>'04'!G41</f>
        <v>201.83</v>
      </c>
      <c r="F43" s="430">
        <f>'05'!K42</f>
        <v>0</v>
      </c>
      <c r="G43" s="430">
        <v>0</v>
      </c>
      <c r="H43" s="455">
        <f t="shared" si="0"/>
        <v>532.47</v>
      </c>
    </row>
    <row r="44" spans="1:8" ht="10.5">
      <c r="A44" s="305">
        <v>40422</v>
      </c>
      <c r="B44" s="482">
        <v>3423.84</v>
      </c>
      <c r="C44" s="430">
        <f>'02'!K42</f>
        <v>0</v>
      </c>
      <c r="D44" s="430">
        <f>'03'!G43</f>
        <v>0</v>
      </c>
      <c r="E44" s="430">
        <f>'04'!G42</f>
        <v>198.13</v>
      </c>
      <c r="F44" s="430">
        <f>'05'!K43</f>
        <v>0</v>
      </c>
      <c r="G44" s="430">
        <v>0</v>
      </c>
      <c r="H44" s="455">
        <f t="shared" si="0"/>
        <v>198.13</v>
      </c>
    </row>
    <row r="45" spans="1:8" ht="10.5">
      <c r="A45" s="305">
        <v>40452</v>
      </c>
      <c r="B45" s="482">
        <v>3098.48</v>
      </c>
      <c r="C45" s="430">
        <f>'02'!K43</f>
        <v>0</v>
      </c>
      <c r="D45" s="430">
        <f>'03'!G44</f>
        <v>0</v>
      </c>
      <c r="E45" s="430">
        <f>'04'!G43</f>
        <v>151.56</v>
      </c>
      <c r="F45" s="430">
        <f>'05'!K44</f>
        <v>0</v>
      </c>
      <c r="G45" s="430">
        <v>0</v>
      </c>
      <c r="H45" s="455">
        <f t="shared" si="0"/>
        <v>151.56</v>
      </c>
    </row>
    <row r="46" spans="1:8" ht="10.5">
      <c r="A46" s="305">
        <v>40483</v>
      </c>
      <c r="B46" s="482">
        <v>2712.32</v>
      </c>
      <c r="C46" s="430">
        <f>'02'!K44</f>
        <v>0</v>
      </c>
      <c r="D46" s="430">
        <f>'03'!G45</f>
        <v>0</v>
      </c>
      <c r="E46" s="430">
        <f>'04'!G44</f>
        <v>147.68</v>
      </c>
      <c r="F46" s="430">
        <f>'05'!K45</f>
        <v>135.87</v>
      </c>
      <c r="G46" s="430">
        <v>0</v>
      </c>
      <c r="H46" s="455">
        <f t="shared" si="0"/>
        <v>283.55</v>
      </c>
    </row>
    <row r="47" spans="1:8" ht="10.5">
      <c r="A47" s="305">
        <v>40513</v>
      </c>
      <c r="B47" s="482">
        <v>3093.73</v>
      </c>
      <c r="C47" s="430">
        <f>'02'!K45</f>
        <v>418.24</v>
      </c>
      <c r="D47" s="430">
        <f>'03'!G46</f>
        <v>0</v>
      </c>
      <c r="E47" s="430">
        <f>'04'!G45</f>
        <v>169.18</v>
      </c>
      <c r="F47" s="430">
        <f>'05'!K46</f>
        <v>181.16</v>
      </c>
      <c r="G47" s="430">
        <v>0</v>
      </c>
      <c r="H47" s="455">
        <f t="shared" si="0"/>
        <v>768.58</v>
      </c>
    </row>
    <row r="48" spans="1:8" ht="10.5">
      <c r="A48" s="459" t="s">
        <v>294</v>
      </c>
      <c r="B48" s="482">
        <v>1830.4</v>
      </c>
      <c r="C48" s="430">
        <v>0</v>
      </c>
      <c r="D48" s="430">
        <f>'03'!G47</f>
        <v>0</v>
      </c>
      <c r="E48" s="430">
        <v>0</v>
      </c>
      <c r="F48" s="430">
        <f>'05'!K47</f>
        <v>0</v>
      </c>
      <c r="G48" s="430">
        <v>0</v>
      </c>
      <c r="H48" s="455">
        <f t="shared" si="0"/>
        <v>0</v>
      </c>
    </row>
    <row r="49" spans="1:8" ht="10.5">
      <c r="A49" s="305">
        <v>40544</v>
      </c>
      <c r="B49" s="482">
        <v>2572.32</v>
      </c>
      <c r="C49" s="430">
        <f>'02'!K46</f>
        <v>962.46</v>
      </c>
      <c r="D49" s="430">
        <f>'03'!G48</f>
        <v>0</v>
      </c>
      <c r="E49" s="430">
        <f>'04'!G46</f>
        <v>300.9</v>
      </c>
      <c r="F49" s="430">
        <f>'05'!K48</f>
        <v>0</v>
      </c>
      <c r="G49" s="430">
        <v>0</v>
      </c>
      <c r="H49" s="455">
        <f t="shared" si="0"/>
        <v>1263.36</v>
      </c>
    </row>
    <row r="50" spans="1:8" ht="10.5">
      <c r="A50" s="305">
        <v>40575</v>
      </c>
      <c r="B50" s="482">
        <v>1945.49</v>
      </c>
      <c r="C50" s="430">
        <f>'02'!K47</f>
        <v>341.87</v>
      </c>
      <c r="D50" s="430">
        <f>'03'!G49</f>
        <v>0</v>
      </c>
      <c r="E50" s="430">
        <f>'04'!G47</f>
        <v>88.61</v>
      </c>
      <c r="F50" s="430">
        <f>'05'!K49</f>
        <v>0</v>
      </c>
      <c r="G50" s="430">
        <v>0</v>
      </c>
      <c r="H50" s="455">
        <f t="shared" si="0"/>
        <v>430.48</v>
      </c>
    </row>
    <row r="51" spans="1:8" ht="10.5">
      <c r="A51" s="305">
        <v>40603</v>
      </c>
      <c r="B51" s="482">
        <v>2024.43</v>
      </c>
      <c r="C51" s="430">
        <f>'02'!K48</f>
        <v>202.76</v>
      </c>
      <c r="D51" s="430">
        <f>'03'!G50</f>
        <v>0</v>
      </c>
      <c r="E51" s="430">
        <f>'04'!G48</f>
        <v>47.12</v>
      </c>
      <c r="F51" s="430">
        <f>'05'!K50</f>
        <v>0</v>
      </c>
      <c r="G51" s="430">
        <v>0</v>
      </c>
      <c r="H51" s="455">
        <f t="shared" si="0"/>
        <v>249.88</v>
      </c>
    </row>
    <row r="52" spans="1:8" ht="10.5">
      <c r="A52" s="305">
        <v>40634</v>
      </c>
      <c r="B52" s="482">
        <v>976.21</v>
      </c>
      <c r="C52" s="430">
        <f>'02'!K49</f>
        <v>195.52</v>
      </c>
      <c r="D52" s="430">
        <f>'03'!G51</f>
        <v>0</v>
      </c>
      <c r="E52" s="430">
        <f>'04'!G49</f>
        <v>48.88</v>
      </c>
      <c r="F52" s="430">
        <f>'05'!K51</f>
        <v>0</v>
      </c>
      <c r="G52" s="430">
        <v>0</v>
      </c>
      <c r="H52" s="455">
        <f t="shared" si="0"/>
        <v>244.4</v>
      </c>
    </row>
    <row r="53" spans="1:8" ht="10.5">
      <c r="A53" s="305">
        <v>40664</v>
      </c>
      <c r="B53" s="482">
        <v>2075.56</v>
      </c>
      <c r="C53" s="430">
        <f>'02'!K50</f>
        <v>43.82</v>
      </c>
      <c r="D53" s="430">
        <f>'03'!G52</f>
        <v>0</v>
      </c>
      <c r="E53" s="430">
        <f>'04'!G50</f>
        <v>8.43</v>
      </c>
      <c r="F53" s="430">
        <f>'05'!K52</f>
        <v>411.33</v>
      </c>
      <c r="G53" s="430">
        <v>0</v>
      </c>
      <c r="H53" s="455">
        <f t="shared" si="0"/>
        <v>463.58</v>
      </c>
    </row>
    <row r="54" spans="1:8" ht="10.5">
      <c r="A54" s="305">
        <v>40695</v>
      </c>
      <c r="B54" s="482">
        <v>2521.91</v>
      </c>
      <c r="C54" s="430">
        <f>'02'!K51</f>
        <v>0</v>
      </c>
      <c r="D54" s="430">
        <f>'03'!G53</f>
        <v>0</v>
      </c>
      <c r="E54" s="430">
        <f>'04'!G51</f>
        <v>0</v>
      </c>
      <c r="F54" s="430">
        <f>'05'!K53</f>
        <v>0</v>
      </c>
      <c r="G54" s="430">
        <v>0</v>
      </c>
      <c r="H54" s="455">
        <f t="shared" si="0"/>
        <v>0</v>
      </c>
    </row>
    <row r="55" spans="1:8" ht="10.5">
      <c r="A55" s="305">
        <v>40725</v>
      </c>
      <c r="B55" s="482">
        <v>1963.96</v>
      </c>
      <c r="C55" s="430">
        <f>'02'!K52</f>
        <v>0</v>
      </c>
      <c r="D55" s="430">
        <f>'03'!G54</f>
        <v>0</v>
      </c>
      <c r="E55" s="430">
        <f>'04'!G52</f>
        <v>0</v>
      </c>
      <c r="F55" s="430">
        <v>0</v>
      </c>
      <c r="G55" s="430">
        <v>0</v>
      </c>
      <c r="H55" s="455">
        <f t="shared" si="0"/>
        <v>0</v>
      </c>
    </row>
    <row r="56" spans="1:8" ht="10.5">
      <c r="A56" s="305">
        <v>40756</v>
      </c>
      <c r="B56" s="482">
        <v>0</v>
      </c>
      <c r="C56" s="430">
        <f>'02'!K53</f>
        <v>0</v>
      </c>
      <c r="D56" s="430">
        <v>0</v>
      </c>
      <c r="E56" s="430">
        <f>'04'!G53</f>
        <v>0</v>
      </c>
      <c r="F56" s="430">
        <f>'05'!K54+'05'!K56</f>
        <v>311.52</v>
      </c>
      <c r="G56" s="430">
        <f>'06'!G22+'06'!G23+'06'!G25</f>
        <v>3715.91</v>
      </c>
      <c r="H56" s="455">
        <f t="shared" si="0"/>
        <v>4027.43</v>
      </c>
    </row>
    <row r="57" ht="10.5">
      <c r="D57" s="430"/>
    </row>
    <row r="58" spans="2:9" ht="10.5">
      <c r="B58" s="580">
        <f aca="true" t="shared" si="1" ref="B58:G58">SUM(B23:B57)</f>
        <v>82748.14</v>
      </c>
      <c r="C58" s="580">
        <f t="shared" si="1"/>
        <v>3117.02</v>
      </c>
      <c r="D58" s="580">
        <f t="shared" si="1"/>
        <v>80.13</v>
      </c>
      <c r="E58" s="580">
        <f t="shared" si="1"/>
        <v>3093.81</v>
      </c>
      <c r="F58" s="580">
        <f t="shared" si="1"/>
        <v>1066.06</v>
      </c>
      <c r="G58" s="580">
        <f t="shared" si="1"/>
        <v>3715.91</v>
      </c>
      <c r="H58" s="580">
        <f>SUM(H23:H56)</f>
        <v>11072.93</v>
      </c>
      <c r="I58" s="399"/>
    </row>
    <row r="59" spans="2:9" ht="10.5">
      <c r="B59" s="399"/>
      <c r="C59" s="399"/>
      <c r="D59" s="399"/>
      <c r="E59" s="399"/>
      <c r="F59" s="399"/>
      <c r="G59" s="399"/>
      <c r="H59" s="399"/>
      <c r="I59" s="399"/>
    </row>
    <row r="61" spans="6:7" ht="10.5">
      <c r="F61" s="132"/>
      <c r="G61" s="132" t="s">
        <v>457</v>
      </c>
    </row>
    <row r="62" spans="6:7" ht="12.75">
      <c r="F62" s="613" t="s">
        <v>458</v>
      </c>
      <c r="G62" s="132"/>
    </row>
  </sheetData>
  <sheetProtection/>
  <printOptions/>
  <pageMargins left="1.1023622047244095" right="0.5118110236220472" top="0.8661417322834646" bottom="0.7874015748031497" header="0.31496062992125984" footer="0.31496062992125984"/>
  <pageSetup horizontalDpi="600" verticalDpi="600" orientation="portrait" paperSize="9" r:id="rId1"/>
  <headerFooter>
    <oddHeader>&amp;R
Anexo: 12
Folha : 0&amp;P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31">
      <selection activeCell="L19" sqref="L19"/>
    </sheetView>
  </sheetViews>
  <sheetFormatPr defaultColWidth="9.33203125" defaultRowHeight="10.5"/>
  <cols>
    <col min="1" max="1" width="9.33203125" style="4" customWidth="1"/>
    <col min="2" max="2" width="13" style="4" customWidth="1"/>
    <col min="3" max="3" width="14.5" style="4" customWidth="1"/>
    <col min="4" max="4" width="19.16015625" style="4" customWidth="1"/>
    <col min="5" max="5" width="13.16015625" style="4" customWidth="1"/>
    <col min="6" max="6" width="12.66015625" style="4" customWidth="1"/>
    <col min="7" max="7" width="12.5" style="4" customWidth="1"/>
    <col min="8" max="8" width="12.83203125" style="4" customWidth="1"/>
    <col min="9" max="16384" width="9.33203125" style="4" customWidth="1"/>
  </cols>
  <sheetData>
    <row r="1" spans="1:4" s="611" customFormat="1" ht="14.25" customHeight="1">
      <c r="A1" s="610" t="s">
        <v>464</v>
      </c>
      <c r="B1" s="610"/>
      <c r="C1" s="610"/>
      <c r="D1" s="610"/>
    </row>
    <row r="2" spans="1:4" s="107" customFormat="1" ht="10.5" customHeight="1">
      <c r="A2" s="132"/>
      <c r="B2" s="612"/>
      <c r="C2" s="132"/>
      <c r="D2" s="132"/>
    </row>
    <row r="3" spans="1:4" s="107" customFormat="1" ht="10.5" customHeight="1">
      <c r="A3" s="132"/>
      <c r="B3" s="612"/>
      <c r="C3" s="132"/>
      <c r="D3" s="132"/>
    </row>
    <row r="4" ht="10.5">
      <c r="A4" s="4" t="s">
        <v>44</v>
      </c>
    </row>
    <row r="5" ht="10.5">
      <c r="A5" s="10" t="s">
        <v>293</v>
      </c>
    </row>
    <row r="6" ht="10.5">
      <c r="A6" s="10"/>
    </row>
    <row r="7" spans="1:4" s="176" customFormat="1" ht="11.25" customHeight="1">
      <c r="A7" s="175" t="s">
        <v>451</v>
      </c>
      <c r="B7" s="53"/>
      <c r="C7" s="288"/>
      <c r="D7" s="107"/>
    </row>
    <row r="8" spans="1:4" s="176" customFormat="1" ht="11.25" customHeight="1">
      <c r="A8" s="173" t="s">
        <v>453</v>
      </c>
      <c r="B8" s="16"/>
      <c r="C8" s="294"/>
      <c r="D8" s="107"/>
    </row>
    <row r="9" spans="1:4" s="176" customFormat="1" ht="11.25" customHeight="1">
      <c r="A9" s="173" t="s">
        <v>454</v>
      </c>
      <c r="B9" s="16"/>
      <c r="C9" s="294"/>
      <c r="D9" s="107"/>
    </row>
    <row r="10" spans="1:4" s="176" customFormat="1" ht="11.25" customHeight="1">
      <c r="A10" s="173" t="s">
        <v>452</v>
      </c>
      <c r="B10" s="16"/>
      <c r="C10" s="294"/>
      <c r="D10" s="107"/>
    </row>
    <row r="11" spans="1:4" s="176" customFormat="1" ht="11.25" customHeight="1">
      <c r="A11" s="175" t="s">
        <v>455</v>
      </c>
      <c r="B11" s="53"/>
      <c r="C11" s="288"/>
      <c r="D11" s="107"/>
    </row>
    <row r="12" spans="1:4" s="176" customFormat="1" ht="11.25" customHeight="1">
      <c r="A12" s="173" t="s">
        <v>235</v>
      </c>
      <c r="B12" s="16"/>
      <c r="C12" s="294"/>
      <c r="D12" s="107"/>
    </row>
    <row r="13" spans="1:4" s="176" customFormat="1" ht="11.25" customHeight="1">
      <c r="A13" s="173" t="s">
        <v>236</v>
      </c>
      <c r="B13" s="16"/>
      <c r="C13" s="294"/>
      <c r="D13" s="107"/>
    </row>
    <row r="14" spans="1:4" s="176" customFormat="1" ht="15" customHeight="1" thickBot="1">
      <c r="A14" s="173"/>
      <c r="B14" s="16"/>
      <c r="C14" s="294"/>
      <c r="D14" s="107"/>
    </row>
    <row r="15" spans="1:8" ht="12" thickBot="1" thickTop="1">
      <c r="A15" s="11" t="s">
        <v>3</v>
      </c>
      <c r="B15" s="5" t="s">
        <v>4</v>
      </c>
      <c r="C15" s="5" t="s">
        <v>5</v>
      </c>
      <c r="D15" s="5" t="s">
        <v>6</v>
      </c>
      <c r="E15" s="5" t="s">
        <v>7</v>
      </c>
      <c r="F15" s="5" t="s">
        <v>8</v>
      </c>
      <c r="G15" s="5" t="s">
        <v>9</v>
      </c>
      <c r="H15" s="5" t="s">
        <v>10</v>
      </c>
    </row>
    <row r="16" spans="1:2" ht="12" thickBot="1" thickTop="1">
      <c r="A16" s="74"/>
      <c r="B16" s="13"/>
    </row>
    <row r="17" spans="1:8" s="16" customFormat="1" ht="11.25" thickTop="1">
      <c r="A17" s="75" t="s">
        <v>1</v>
      </c>
      <c r="B17" s="14" t="s">
        <v>43</v>
      </c>
      <c r="C17" s="15" t="s">
        <v>45</v>
      </c>
      <c r="D17" s="15" t="s">
        <v>43</v>
      </c>
      <c r="E17" s="15" t="s">
        <v>46</v>
      </c>
      <c r="F17" s="15" t="s">
        <v>46</v>
      </c>
      <c r="G17" s="15" t="s">
        <v>46</v>
      </c>
      <c r="H17" s="138" t="s">
        <v>47</v>
      </c>
    </row>
    <row r="18" spans="1:8" s="16" customFormat="1" ht="10.5">
      <c r="A18" s="76"/>
      <c r="B18" s="17" t="s">
        <v>48</v>
      </c>
      <c r="C18" s="18" t="s">
        <v>49</v>
      </c>
      <c r="D18" s="18" t="s">
        <v>50</v>
      </c>
      <c r="E18" s="194" t="s">
        <v>43</v>
      </c>
      <c r="F18" s="194" t="s">
        <v>43</v>
      </c>
      <c r="G18" s="194" t="s">
        <v>43</v>
      </c>
      <c r="H18" s="143" t="s">
        <v>51</v>
      </c>
    </row>
    <row r="19" spans="1:8" s="16" customFormat="1" ht="10.5">
      <c r="A19" s="76"/>
      <c r="B19" s="17" t="s">
        <v>52</v>
      </c>
      <c r="C19" s="18" t="s">
        <v>53</v>
      </c>
      <c r="D19" s="18" t="s">
        <v>54</v>
      </c>
      <c r="E19" s="18" t="s">
        <v>48</v>
      </c>
      <c r="F19" s="18" t="s">
        <v>48</v>
      </c>
      <c r="G19" s="18" t="s">
        <v>48</v>
      </c>
      <c r="H19" s="143" t="s">
        <v>180</v>
      </c>
    </row>
    <row r="20" spans="1:8" s="16" customFormat="1" ht="10.5">
      <c r="A20" s="76"/>
      <c r="B20" s="17" t="s">
        <v>55</v>
      </c>
      <c r="C20" s="18" t="s">
        <v>56</v>
      </c>
      <c r="D20" s="18" t="s">
        <v>57</v>
      </c>
      <c r="E20" s="18" t="s">
        <v>181</v>
      </c>
      <c r="F20" s="18" t="s">
        <v>182</v>
      </c>
      <c r="G20" s="18" t="s">
        <v>58</v>
      </c>
      <c r="H20" s="143" t="s">
        <v>59</v>
      </c>
    </row>
    <row r="21" spans="1:8" s="16" customFormat="1" ht="10.5">
      <c r="A21" s="76"/>
      <c r="B21" s="17" t="s">
        <v>60</v>
      </c>
      <c r="C21" s="18" t="s">
        <v>61</v>
      </c>
      <c r="D21" s="18" t="s">
        <v>62</v>
      </c>
      <c r="E21" s="18" t="s">
        <v>183</v>
      </c>
      <c r="F21" s="18" t="s">
        <v>184</v>
      </c>
      <c r="G21" s="18"/>
      <c r="H21" s="143" t="s">
        <v>185</v>
      </c>
    </row>
    <row r="22" spans="1:8" s="16" customFormat="1" ht="10.5">
      <c r="A22" s="76"/>
      <c r="B22" s="17"/>
      <c r="C22" s="18" t="s">
        <v>63</v>
      </c>
      <c r="D22" s="18" t="s">
        <v>64</v>
      </c>
      <c r="E22" s="18"/>
      <c r="G22" s="18"/>
      <c r="H22" s="143"/>
    </row>
    <row r="23" spans="1:8" s="16" customFormat="1" ht="12.75" customHeight="1" thickBot="1">
      <c r="A23" s="285"/>
      <c r="B23" s="19"/>
      <c r="C23" s="19"/>
      <c r="D23" s="19" t="s">
        <v>65</v>
      </c>
      <c r="E23" s="286"/>
      <c r="F23" s="19"/>
      <c r="G23" s="19"/>
      <c r="H23" s="20"/>
    </row>
    <row r="24" ht="11.25" thickTop="1"/>
    <row r="25" spans="1:8" ht="10.5" customHeight="1">
      <c r="A25" s="456">
        <v>39814</v>
      </c>
      <c r="B25" s="457">
        <v>3038.99</v>
      </c>
      <c r="C25" s="457">
        <f>'12'!H23</f>
        <v>91.25</v>
      </c>
      <c r="D25" s="581">
        <f>'12'!H23</f>
        <v>91.25</v>
      </c>
      <c r="E25" s="457">
        <v>911.7</v>
      </c>
      <c r="F25" s="457">
        <v>1519.5</v>
      </c>
      <c r="G25" s="458">
        <f aca="true" t="shared" si="0" ref="G25:G58">B25</f>
        <v>3038.99</v>
      </c>
      <c r="H25" s="581">
        <f aca="true" t="shared" si="1" ref="H25:H58">IF(D25&lt;=E25,D25*8%,IF(D25&lt;=F25,D25*9%,IF(D25&lt;=G25,D25*11%)))</f>
        <v>7.3</v>
      </c>
    </row>
    <row r="26" spans="1:8" ht="10.5" customHeight="1">
      <c r="A26" s="456">
        <v>39845</v>
      </c>
      <c r="B26" s="457">
        <v>3218.9</v>
      </c>
      <c r="C26" s="457">
        <f>'12'!H24</f>
        <v>47.17</v>
      </c>
      <c r="D26" s="581">
        <f>'12'!H24</f>
        <v>47.17</v>
      </c>
      <c r="E26" s="457">
        <v>965.67</v>
      </c>
      <c r="F26" s="457">
        <v>1609.45</v>
      </c>
      <c r="G26" s="458">
        <f t="shared" si="0"/>
        <v>3218.9</v>
      </c>
      <c r="H26" s="581">
        <f t="shared" si="1"/>
        <v>3.77</v>
      </c>
    </row>
    <row r="27" spans="1:8" ht="10.5" customHeight="1">
      <c r="A27" s="456">
        <v>39873</v>
      </c>
      <c r="B27" s="457">
        <v>3218.9</v>
      </c>
      <c r="C27" s="457">
        <f>'12'!H25</f>
        <v>180.9</v>
      </c>
      <c r="D27" s="581">
        <f>'12'!H25</f>
        <v>180.9</v>
      </c>
      <c r="E27" s="457">
        <v>965.67</v>
      </c>
      <c r="F27" s="457">
        <v>1609.45</v>
      </c>
      <c r="G27" s="458">
        <f t="shared" si="0"/>
        <v>3218.9</v>
      </c>
      <c r="H27" s="581">
        <f t="shared" si="1"/>
        <v>14.47</v>
      </c>
    </row>
    <row r="28" spans="1:8" ht="10.5" customHeight="1">
      <c r="A28" s="456">
        <v>39904</v>
      </c>
      <c r="B28" s="457">
        <v>3218.9</v>
      </c>
      <c r="C28" s="457">
        <f>'12'!H26</f>
        <v>147.09</v>
      </c>
      <c r="D28" s="581">
        <f>'12'!H26</f>
        <v>147.09</v>
      </c>
      <c r="E28" s="457">
        <v>965.67</v>
      </c>
      <c r="F28" s="457">
        <v>1609.45</v>
      </c>
      <c r="G28" s="458">
        <f t="shared" si="0"/>
        <v>3218.9</v>
      </c>
      <c r="H28" s="581">
        <f t="shared" si="1"/>
        <v>11.77</v>
      </c>
    </row>
    <row r="29" spans="1:8" ht="10.5" customHeight="1">
      <c r="A29" s="456">
        <v>39934</v>
      </c>
      <c r="B29" s="457">
        <v>3218.9</v>
      </c>
      <c r="C29" s="457">
        <f>'12'!H27</f>
        <v>0</v>
      </c>
      <c r="D29" s="581">
        <f>'12'!H27</f>
        <v>0</v>
      </c>
      <c r="E29" s="457">
        <v>965.67</v>
      </c>
      <c r="F29" s="457">
        <v>1609.45</v>
      </c>
      <c r="G29" s="458">
        <f t="shared" si="0"/>
        <v>3218.9</v>
      </c>
      <c r="H29" s="581">
        <f t="shared" si="1"/>
        <v>0</v>
      </c>
    </row>
    <row r="30" spans="1:8" ht="10.5" customHeight="1">
      <c r="A30" s="456">
        <v>39965</v>
      </c>
      <c r="B30" s="457">
        <v>3218.9</v>
      </c>
      <c r="C30" s="457">
        <f>'12'!H28</f>
        <v>0</v>
      </c>
      <c r="D30" s="581">
        <f>'12'!H28</f>
        <v>0</v>
      </c>
      <c r="E30" s="457">
        <v>965.67</v>
      </c>
      <c r="F30" s="457">
        <v>1609.45</v>
      </c>
      <c r="G30" s="457">
        <f t="shared" si="0"/>
        <v>3218.9</v>
      </c>
      <c r="H30" s="581">
        <f t="shared" si="1"/>
        <v>0</v>
      </c>
    </row>
    <row r="31" spans="1:8" ht="10.5" customHeight="1">
      <c r="A31" s="456">
        <v>39995</v>
      </c>
      <c r="B31" s="457">
        <v>3218.9</v>
      </c>
      <c r="C31" s="457">
        <f>'12'!H29</f>
        <v>0</v>
      </c>
      <c r="D31" s="581">
        <f>'12'!H29</f>
        <v>0</v>
      </c>
      <c r="E31" s="457">
        <v>965.67</v>
      </c>
      <c r="F31" s="457">
        <v>1609.45</v>
      </c>
      <c r="G31" s="457">
        <f t="shared" si="0"/>
        <v>3218.9</v>
      </c>
      <c r="H31" s="581">
        <f t="shared" si="1"/>
        <v>0</v>
      </c>
    </row>
    <row r="32" spans="1:8" ht="10.5" customHeight="1">
      <c r="A32" s="456">
        <v>40026</v>
      </c>
      <c r="B32" s="457">
        <v>3218.9</v>
      </c>
      <c r="C32" s="457">
        <f>'12'!H30</f>
        <v>116.4</v>
      </c>
      <c r="D32" s="581">
        <f>'12'!H30</f>
        <v>116.4</v>
      </c>
      <c r="E32" s="457">
        <v>965.67</v>
      </c>
      <c r="F32" s="457">
        <v>1609.45</v>
      </c>
      <c r="G32" s="457">
        <f t="shared" si="0"/>
        <v>3218.9</v>
      </c>
      <c r="H32" s="581">
        <f t="shared" si="1"/>
        <v>9.31</v>
      </c>
    </row>
    <row r="33" spans="1:8" ht="10.5" customHeight="1">
      <c r="A33" s="456">
        <v>40057</v>
      </c>
      <c r="B33" s="457">
        <v>3218.9</v>
      </c>
      <c r="C33" s="457">
        <f>'12'!H31</f>
        <v>217.43</v>
      </c>
      <c r="D33" s="581">
        <v>3218.9</v>
      </c>
      <c r="E33" s="457">
        <v>965.67</v>
      </c>
      <c r="F33" s="457">
        <v>1609.45</v>
      </c>
      <c r="G33" s="457">
        <f t="shared" si="0"/>
        <v>3218.9</v>
      </c>
      <c r="H33" s="581">
        <f t="shared" si="1"/>
        <v>354.08</v>
      </c>
    </row>
    <row r="34" spans="1:8" ht="10.5" customHeight="1">
      <c r="A34" s="456">
        <v>40087</v>
      </c>
      <c r="B34" s="457">
        <v>3218.9</v>
      </c>
      <c r="C34" s="457">
        <f>'12'!H32</f>
        <v>71.7</v>
      </c>
      <c r="D34" s="581">
        <f>'12'!H32</f>
        <v>71.7</v>
      </c>
      <c r="E34" s="457">
        <v>965.67</v>
      </c>
      <c r="F34" s="457">
        <v>1609.45</v>
      </c>
      <c r="G34" s="457">
        <f t="shared" si="0"/>
        <v>3218.9</v>
      </c>
      <c r="H34" s="581">
        <f t="shared" si="1"/>
        <v>5.74</v>
      </c>
    </row>
    <row r="35" spans="1:8" ht="10.5" customHeight="1">
      <c r="A35" s="456">
        <v>40118</v>
      </c>
      <c r="B35" s="457">
        <v>3218.9</v>
      </c>
      <c r="C35" s="457">
        <f>'12'!H33</f>
        <v>80.08</v>
      </c>
      <c r="D35" s="581">
        <f>'12'!H33</f>
        <v>80.08</v>
      </c>
      <c r="E35" s="457">
        <v>965.67</v>
      </c>
      <c r="F35" s="457">
        <v>1609.45</v>
      </c>
      <c r="G35" s="457">
        <f t="shared" si="0"/>
        <v>3218.9</v>
      </c>
      <c r="H35" s="581">
        <f t="shared" si="1"/>
        <v>6.41</v>
      </c>
    </row>
    <row r="36" spans="1:8" ht="10.5" customHeight="1">
      <c r="A36" s="456">
        <v>40148</v>
      </c>
      <c r="B36" s="457">
        <v>3218.9</v>
      </c>
      <c r="C36" s="457">
        <f>'12'!H34</f>
        <v>152.7</v>
      </c>
      <c r="D36" s="581">
        <f>'12'!H34</f>
        <v>152.7</v>
      </c>
      <c r="E36" s="457">
        <v>965.67</v>
      </c>
      <c r="F36" s="457">
        <v>1609.45</v>
      </c>
      <c r="G36" s="457">
        <f t="shared" si="0"/>
        <v>3218.9</v>
      </c>
      <c r="H36" s="581">
        <f t="shared" si="1"/>
        <v>12.22</v>
      </c>
    </row>
    <row r="37" spans="1:8" ht="10.5" customHeight="1">
      <c r="A37" s="460" t="s">
        <v>294</v>
      </c>
      <c r="B37" s="457">
        <v>3218.9</v>
      </c>
      <c r="C37" s="457">
        <f>'12'!H35</f>
        <v>0</v>
      </c>
      <c r="D37" s="581">
        <f>'12'!H35</f>
        <v>0</v>
      </c>
      <c r="E37" s="457">
        <v>965.67</v>
      </c>
      <c r="F37" s="457">
        <v>1609.45</v>
      </c>
      <c r="G37" s="457">
        <f t="shared" si="0"/>
        <v>3218.9</v>
      </c>
      <c r="H37" s="581">
        <f t="shared" si="1"/>
        <v>0</v>
      </c>
    </row>
    <row r="38" spans="1:8" ht="10.5" customHeight="1">
      <c r="A38" s="456">
        <v>40179</v>
      </c>
      <c r="B38" s="457">
        <v>3467.4</v>
      </c>
      <c r="C38" s="457">
        <f>'12'!H36</f>
        <v>71.93</v>
      </c>
      <c r="D38" s="581">
        <f>'12'!H36</f>
        <v>71.93</v>
      </c>
      <c r="E38" s="457">
        <v>1040.22</v>
      </c>
      <c r="F38" s="457">
        <v>1733.7</v>
      </c>
      <c r="G38" s="457">
        <f t="shared" si="0"/>
        <v>3467.4</v>
      </c>
      <c r="H38" s="581">
        <f t="shared" si="1"/>
        <v>5.75</v>
      </c>
    </row>
    <row r="39" spans="1:8" ht="10.5" customHeight="1">
      <c r="A39" s="456">
        <v>40210</v>
      </c>
      <c r="B39" s="457">
        <v>3467.4</v>
      </c>
      <c r="C39" s="457">
        <f>'12'!H37</f>
        <v>68.38</v>
      </c>
      <c r="D39" s="581">
        <f>'12'!H37</f>
        <v>68.38</v>
      </c>
      <c r="E39" s="457">
        <v>1040.22</v>
      </c>
      <c r="F39" s="457">
        <v>1733.7</v>
      </c>
      <c r="G39" s="457">
        <f t="shared" si="0"/>
        <v>3467.4</v>
      </c>
      <c r="H39" s="581">
        <f t="shared" si="1"/>
        <v>5.47</v>
      </c>
    </row>
    <row r="40" spans="1:8" ht="10.5" customHeight="1">
      <c r="A40" s="456">
        <v>40238</v>
      </c>
      <c r="B40" s="457">
        <v>3467.4</v>
      </c>
      <c r="C40" s="457">
        <f>'12'!H38</f>
        <v>0</v>
      </c>
      <c r="D40" s="581">
        <f>'12'!H38</f>
        <v>0</v>
      </c>
      <c r="E40" s="457">
        <v>1040.22</v>
      </c>
      <c r="F40" s="457">
        <v>1733.7</v>
      </c>
      <c r="G40" s="457">
        <f t="shared" si="0"/>
        <v>3467.4</v>
      </c>
      <c r="H40" s="581">
        <f t="shared" si="1"/>
        <v>0</v>
      </c>
    </row>
    <row r="41" spans="1:8" ht="10.5" customHeight="1">
      <c r="A41" s="456">
        <v>40269</v>
      </c>
      <c r="B41" s="457">
        <v>3467.4</v>
      </c>
      <c r="C41" s="457">
        <f>'12'!H39</f>
        <v>168.69</v>
      </c>
      <c r="D41" s="581">
        <f>'12'!H39</f>
        <v>168.69</v>
      </c>
      <c r="E41" s="457">
        <v>1040.22</v>
      </c>
      <c r="F41" s="457">
        <v>1733.7</v>
      </c>
      <c r="G41" s="457">
        <f t="shared" si="0"/>
        <v>3467.4</v>
      </c>
      <c r="H41" s="581">
        <f t="shared" si="1"/>
        <v>13.5</v>
      </c>
    </row>
    <row r="42" spans="1:8" ht="10.5" customHeight="1">
      <c r="A42" s="456">
        <v>40299</v>
      </c>
      <c r="B42" s="457">
        <v>3467.4</v>
      </c>
      <c r="C42" s="457">
        <f>'12'!H40</f>
        <v>457.24</v>
      </c>
      <c r="D42" s="581">
        <v>3467.4</v>
      </c>
      <c r="E42" s="457">
        <v>1040.22</v>
      </c>
      <c r="F42" s="457">
        <v>1733.7</v>
      </c>
      <c r="G42" s="457">
        <f t="shared" si="0"/>
        <v>3467.4</v>
      </c>
      <c r="H42" s="581">
        <f t="shared" si="1"/>
        <v>381.41</v>
      </c>
    </row>
    <row r="43" spans="1:8" ht="10.5" customHeight="1">
      <c r="A43" s="456">
        <v>40330</v>
      </c>
      <c r="B43" s="457">
        <v>3467.4</v>
      </c>
      <c r="C43" s="457">
        <f>'12'!H41</f>
        <v>453.02</v>
      </c>
      <c r="D43" s="581">
        <v>3467.4</v>
      </c>
      <c r="E43" s="457">
        <v>1040.22</v>
      </c>
      <c r="F43" s="457">
        <v>1733.7</v>
      </c>
      <c r="G43" s="457">
        <f t="shared" si="0"/>
        <v>3467.4</v>
      </c>
      <c r="H43" s="581">
        <f t="shared" si="1"/>
        <v>381.41</v>
      </c>
    </row>
    <row r="44" spans="1:8" ht="10.5" customHeight="1">
      <c r="A44" s="456">
        <v>40360</v>
      </c>
      <c r="B44" s="457">
        <v>3467.4</v>
      </c>
      <c r="C44" s="457">
        <f>'12'!H42</f>
        <v>135.53</v>
      </c>
      <c r="D44" s="581">
        <f>'12'!H42</f>
        <v>135.53</v>
      </c>
      <c r="E44" s="457">
        <v>1040.22</v>
      </c>
      <c r="F44" s="457">
        <v>1733.7</v>
      </c>
      <c r="G44" s="457">
        <f t="shared" si="0"/>
        <v>3467.4</v>
      </c>
      <c r="H44" s="581">
        <f t="shared" si="1"/>
        <v>10.84</v>
      </c>
    </row>
    <row r="45" spans="1:8" ht="10.5" customHeight="1">
      <c r="A45" s="456">
        <v>40391</v>
      </c>
      <c r="B45" s="457">
        <v>3467.4</v>
      </c>
      <c r="C45" s="457">
        <f>'12'!H43</f>
        <v>532.47</v>
      </c>
      <c r="D45" s="581">
        <v>3467.4</v>
      </c>
      <c r="E45" s="457">
        <v>1040.22</v>
      </c>
      <c r="F45" s="457">
        <v>1733.7</v>
      </c>
      <c r="G45" s="457">
        <f t="shared" si="0"/>
        <v>3467.4</v>
      </c>
      <c r="H45" s="581">
        <f t="shared" si="1"/>
        <v>381.41</v>
      </c>
    </row>
    <row r="46" spans="1:8" ht="10.5" customHeight="1">
      <c r="A46" s="456">
        <v>40422</v>
      </c>
      <c r="B46" s="457">
        <v>3467.4</v>
      </c>
      <c r="C46" s="457">
        <f>'12'!H44</f>
        <v>198.13</v>
      </c>
      <c r="D46" s="581">
        <v>3467.4</v>
      </c>
      <c r="E46" s="457">
        <v>1040.22</v>
      </c>
      <c r="F46" s="457">
        <v>1733.7</v>
      </c>
      <c r="G46" s="457">
        <f t="shared" si="0"/>
        <v>3467.4</v>
      </c>
      <c r="H46" s="581">
        <f t="shared" si="1"/>
        <v>381.41</v>
      </c>
    </row>
    <row r="47" spans="1:8" ht="10.5" customHeight="1">
      <c r="A47" s="456">
        <v>40452</v>
      </c>
      <c r="B47" s="457">
        <v>3467.4</v>
      </c>
      <c r="C47" s="457">
        <f>'12'!H45</f>
        <v>151.56</v>
      </c>
      <c r="D47" s="581">
        <v>3467.4</v>
      </c>
      <c r="E47" s="457">
        <v>1040.22</v>
      </c>
      <c r="F47" s="457">
        <v>1733.7</v>
      </c>
      <c r="G47" s="457">
        <f t="shared" si="0"/>
        <v>3467.4</v>
      </c>
      <c r="H47" s="581">
        <f t="shared" si="1"/>
        <v>381.41</v>
      </c>
    </row>
    <row r="48" spans="1:8" ht="10.5" customHeight="1">
      <c r="A48" s="456">
        <v>40483</v>
      </c>
      <c r="B48" s="457">
        <v>3467.4</v>
      </c>
      <c r="C48" s="457">
        <f>'12'!H46</f>
        <v>283.55</v>
      </c>
      <c r="D48" s="581">
        <f>'12'!H46</f>
        <v>283.55</v>
      </c>
      <c r="E48" s="457">
        <v>1040.22</v>
      </c>
      <c r="F48" s="457">
        <v>1733.7</v>
      </c>
      <c r="G48" s="457">
        <f t="shared" si="0"/>
        <v>3467.4</v>
      </c>
      <c r="H48" s="581">
        <f t="shared" si="1"/>
        <v>22.68</v>
      </c>
    </row>
    <row r="49" spans="1:8" ht="10.5" customHeight="1">
      <c r="A49" s="456">
        <v>40513</v>
      </c>
      <c r="B49" s="457">
        <v>3467.4</v>
      </c>
      <c r="C49" s="457">
        <f>'12'!H47</f>
        <v>768.58</v>
      </c>
      <c r="D49" s="581">
        <v>3467.4</v>
      </c>
      <c r="E49" s="457">
        <v>1040.22</v>
      </c>
      <c r="F49" s="457">
        <v>1733.7</v>
      </c>
      <c r="G49" s="457">
        <f t="shared" si="0"/>
        <v>3467.4</v>
      </c>
      <c r="H49" s="581">
        <f t="shared" si="1"/>
        <v>381.41</v>
      </c>
    </row>
    <row r="50" spans="1:8" ht="10.5" customHeight="1">
      <c r="A50" s="460" t="s">
        <v>294</v>
      </c>
      <c r="B50" s="457">
        <v>3467.4</v>
      </c>
      <c r="C50" s="457">
        <f>'12'!H48</f>
        <v>0</v>
      </c>
      <c r="D50" s="581">
        <f>'12'!H48</f>
        <v>0</v>
      </c>
      <c r="E50" s="457">
        <v>1040.22</v>
      </c>
      <c r="F50" s="457">
        <v>1733.7</v>
      </c>
      <c r="G50" s="457">
        <f t="shared" si="0"/>
        <v>3467.4</v>
      </c>
      <c r="H50" s="581">
        <f t="shared" si="1"/>
        <v>0</v>
      </c>
    </row>
    <row r="51" spans="1:8" ht="10.5" customHeight="1">
      <c r="A51" s="456">
        <v>40544</v>
      </c>
      <c r="B51" s="457">
        <v>3689.66</v>
      </c>
      <c r="C51" s="457">
        <f>'12'!H49</f>
        <v>1263.36</v>
      </c>
      <c r="D51" s="581">
        <v>3689.66</v>
      </c>
      <c r="E51" s="457">
        <v>1106.9</v>
      </c>
      <c r="F51" s="457">
        <v>1844.83</v>
      </c>
      <c r="G51" s="457">
        <f t="shared" si="0"/>
        <v>3689.66</v>
      </c>
      <c r="H51" s="581">
        <f t="shared" si="1"/>
        <v>405.86</v>
      </c>
    </row>
    <row r="52" spans="1:8" ht="10.5" customHeight="1">
      <c r="A52" s="456">
        <v>40575</v>
      </c>
      <c r="B52" s="457">
        <v>3689.66</v>
      </c>
      <c r="C52" s="457">
        <f>'12'!H50</f>
        <v>430.48</v>
      </c>
      <c r="D52" s="581">
        <f>'12'!H50</f>
        <v>430.48</v>
      </c>
      <c r="E52" s="457">
        <v>1106.9</v>
      </c>
      <c r="F52" s="457">
        <v>1844.83</v>
      </c>
      <c r="G52" s="457">
        <f t="shared" si="0"/>
        <v>3689.66</v>
      </c>
      <c r="H52" s="581">
        <f t="shared" si="1"/>
        <v>34.44</v>
      </c>
    </row>
    <row r="53" spans="1:8" ht="10.5" customHeight="1">
      <c r="A53" s="456">
        <v>40603</v>
      </c>
      <c r="B53" s="457">
        <v>3689.66</v>
      </c>
      <c r="C53" s="457">
        <f>'12'!H51</f>
        <v>249.88</v>
      </c>
      <c r="D53" s="581">
        <f>'12'!H51</f>
        <v>249.88</v>
      </c>
      <c r="E53" s="457">
        <v>1106.9</v>
      </c>
      <c r="F53" s="457">
        <v>1844.83</v>
      </c>
      <c r="G53" s="457">
        <f t="shared" si="0"/>
        <v>3689.66</v>
      </c>
      <c r="H53" s="581">
        <f t="shared" si="1"/>
        <v>19.99</v>
      </c>
    </row>
    <row r="54" spans="1:8" ht="10.5" customHeight="1">
      <c r="A54" s="456">
        <v>40634</v>
      </c>
      <c r="B54" s="457">
        <v>3689.66</v>
      </c>
      <c r="C54" s="457">
        <f>'12'!H52</f>
        <v>244.4</v>
      </c>
      <c r="D54" s="581">
        <f>'12'!H52</f>
        <v>244.4</v>
      </c>
      <c r="E54" s="457">
        <v>1106.9</v>
      </c>
      <c r="F54" s="457">
        <v>1844.83</v>
      </c>
      <c r="G54" s="457">
        <f t="shared" si="0"/>
        <v>3689.66</v>
      </c>
      <c r="H54" s="581">
        <f t="shared" si="1"/>
        <v>19.55</v>
      </c>
    </row>
    <row r="55" spans="1:8" ht="10.5" customHeight="1">
      <c r="A55" s="456">
        <v>40664</v>
      </c>
      <c r="B55" s="457">
        <v>3689.66</v>
      </c>
      <c r="C55" s="457">
        <f>'12'!H53</f>
        <v>463.58</v>
      </c>
      <c r="D55" s="581">
        <f>'12'!H53</f>
        <v>463.58</v>
      </c>
      <c r="E55" s="457">
        <v>1106.9</v>
      </c>
      <c r="F55" s="457">
        <v>1844.83</v>
      </c>
      <c r="G55" s="457">
        <f t="shared" si="0"/>
        <v>3689.66</v>
      </c>
      <c r="H55" s="581">
        <f t="shared" si="1"/>
        <v>37.09</v>
      </c>
    </row>
    <row r="56" spans="1:8" ht="10.5" customHeight="1">
      <c r="A56" s="456">
        <v>40695</v>
      </c>
      <c r="B56" s="457">
        <v>3689.66</v>
      </c>
      <c r="C56" s="457">
        <f>'12'!H54</f>
        <v>0</v>
      </c>
      <c r="D56" s="581">
        <f>'12'!H54</f>
        <v>0</v>
      </c>
      <c r="E56" s="457">
        <v>1106.9</v>
      </c>
      <c r="F56" s="457">
        <v>1844.83</v>
      </c>
      <c r="G56" s="457">
        <f t="shared" si="0"/>
        <v>3689.66</v>
      </c>
      <c r="H56" s="581">
        <f t="shared" si="1"/>
        <v>0</v>
      </c>
    </row>
    <row r="57" spans="1:8" ht="10.5" customHeight="1">
      <c r="A57" s="456">
        <v>40725</v>
      </c>
      <c r="B57" s="457">
        <v>3691.74</v>
      </c>
      <c r="C57" s="457">
        <f>'12'!H55</f>
        <v>0</v>
      </c>
      <c r="D57" s="581">
        <f>'12'!H55</f>
        <v>0</v>
      </c>
      <c r="E57" s="457">
        <v>1107.52</v>
      </c>
      <c r="F57" s="457">
        <v>1845.87</v>
      </c>
      <c r="G57" s="457">
        <f t="shared" si="0"/>
        <v>3691.74</v>
      </c>
      <c r="H57" s="581">
        <f t="shared" si="1"/>
        <v>0</v>
      </c>
    </row>
    <row r="58" spans="1:8" ht="10.5" customHeight="1">
      <c r="A58" s="456">
        <v>40756</v>
      </c>
      <c r="B58" s="457">
        <v>3691.74</v>
      </c>
      <c r="C58" s="457">
        <f>'12'!H56</f>
        <v>4027.43</v>
      </c>
      <c r="D58" s="581">
        <v>3691.74</v>
      </c>
      <c r="E58" s="457">
        <v>1107.52</v>
      </c>
      <c r="F58" s="457">
        <v>1845.87</v>
      </c>
      <c r="G58" s="457">
        <f t="shared" si="0"/>
        <v>3691.74</v>
      </c>
      <c r="H58" s="457">
        <f t="shared" si="1"/>
        <v>406.09</v>
      </c>
    </row>
    <row r="60" spans="3:8" s="10" customFormat="1" ht="10.5">
      <c r="C60" s="281">
        <f>SUM(C25:C59)</f>
        <v>11072.93</v>
      </c>
      <c r="H60" s="281">
        <f>SUM(H25:H59)</f>
        <v>3694.79</v>
      </c>
    </row>
    <row r="61" ht="21" customHeight="1"/>
    <row r="62" spans="5:6" ht="10.5">
      <c r="E62" s="132"/>
      <c r="F62" s="132" t="s">
        <v>457</v>
      </c>
    </row>
    <row r="63" spans="5:6" ht="12.75">
      <c r="E63" s="613" t="s">
        <v>458</v>
      </c>
      <c r="F63" s="132"/>
    </row>
  </sheetData>
  <sheetProtection/>
  <printOptions/>
  <pageMargins left="0.8661417322834646" right="0.5118110236220472" top="0.8661417322834646" bottom="0.7874015748031497" header="0.31496062992125984" footer="0.31496062992125984"/>
  <pageSetup horizontalDpi="600" verticalDpi="600" orientation="portrait" paperSize="9" r:id="rId1"/>
  <headerFooter>
    <oddHeader>&amp;R
Anexo: 13
Folha : 0&amp;P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selection activeCell="K24" sqref="K24"/>
    </sheetView>
  </sheetViews>
  <sheetFormatPr defaultColWidth="13.33203125" defaultRowHeight="11.25" customHeight="1"/>
  <cols>
    <col min="1" max="1" width="9" style="16" customWidth="1"/>
    <col min="2" max="2" width="13" style="16" customWidth="1"/>
    <col min="3" max="3" width="13.33203125" style="16" customWidth="1"/>
    <col min="4" max="4" width="11.66015625" style="16" customWidth="1"/>
    <col min="5" max="5" width="13.66015625" style="16" bestFit="1" customWidth="1"/>
    <col min="6" max="6" width="12.33203125" style="16" customWidth="1"/>
    <col min="7" max="7" width="12.5" style="16" bestFit="1" customWidth="1"/>
    <col min="8" max="8" width="13.33203125" style="16" customWidth="1"/>
    <col min="9" max="16384" width="13.33203125" style="16" customWidth="1"/>
  </cols>
  <sheetData>
    <row r="1" spans="1:4" s="611" customFormat="1" ht="14.25" customHeight="1">
      <c r="A1" s="610" t="s">
        <v>464</v>
      </c>
      <c r="B1" s="610"/>
      <c r="C1" s="610"/>
      <c r="D1" s="610"/>
    </row>
    <row r="2" spans="1:4" s="107" customFormat="1" ht="10.5" customHeight="1">
      <c r="A2" s="132"/>
      <c r="B2" s="612"/>
      <c r="C2" s="132"/>
      <c r="D2" s="132"/>
    </row>
    <row r="3" spans="1:4" s="107" customFormat="1" ht="10.5" customHeight="1">
      <c r="A3" s="132"/>
      <c r="B3" s="612"/>
      <c r="C3" s="132"/>
      <c r="D3" s="132"/>
    </row>
    <row r="4" ht="11.25" customHeight="1">
      <c r="A4" s="16" t="s">
        <v>66</v>
      </c>
    </row>
    <row r="6" spans="1:4" s="176" customFormat="1" ht="11.25" customHeight="1">
      <c r="A6" s="175" t="s">
        <v>451</v>
      </c>
      <c r="B6" s="53"/>
      <c r="C6" s="288"/>
      <c r="D6" s="107"/>
    </row>
    <row r="7" spans="1:4" s="176" customFormat="1" ht="11.25" customHeight="1">
      <c r="A7" s="173" t="s">
        <v>453</v>
      </c>
      <c r="B7" s="16"/>
      <c r="C7" s="294"/>
      <c r="D7" s="107"/>
    </row>
    <row r="8" spans="1:4" s="176" customFormat="1" ht="11.25" customHeight="1">
      <c r="A8" s="173" t="s">
        <v>454</v>
      </c>
      <c r="B8" s="16"/>
      <c r="C8" s="294"/>
      <c r="D8" s="107"/>
    </row>
    <row r="9" spans="1:4" s="176" customFormat="1" ht="11.25" customHeight="1">
      <c r="A9" s="173" t="s">
        <v>452</v>
      </c>
      <c r="B9" s="16"/>
      <c r="C9" s="294"/>
      <c r="D9" s="107"/>
    </row>
    <row r="10" spans="1:4" s="176" customFormat="1" ht="11.25" customHeight="1">
      <c r="A10" s="175" t="s">
        <v>455</v>
      </c>
      <c r="B10" s="53"/>
      <c r="C10" s="288"/>
      <c r="D10" s="107"/>
    </row>
    <row r="11" spans="1:4" s="176" customFormat="1" ht="11.25" customHeight="1">
      <c r="A11" s="173" t="s">
        <v>235</v>
      </c>
      <c r="B11" s="16"/>
      <c r="C11" s="294"/>
      <c r="D11" s="107"/>
    </row>
    <row r="12" spans="1:4" s="176" customFormat="1" ht="11.25" customHeight="1">
      <c r="A12" s="173" t="s">
        <v>236</v>
      </c>
      <c r="B12" s="16"/>
      <c r="C12" s="294"/>
      <c r="D12" s="107"/>
    </row>
    <row r="13" spans="1:4" s="176" customFormat="1" ht="11.25" customHeight="1" thickBot="1">
      <c r="A13" s="173"/>
      <c r="B13" s="16"/>
      <c r="C13" s="294"/>
      <c r="D13" s="107"/>
    </row>
    <row r="14" spans="1:8" ht="11.25" customHeight="1" thickBot="1" thickTop="1">
      <c r="A14" s="54" t="s">
        <v>3</v>
      </c>
      <c r="B14" s="55" t="s">
        <v>4</v>
      </c>
      <c r="C14" s="55" t="s">
        <v>5</v>
      </c>
      <c r="D14" s="55" t="s">
        <v>6</v>
      </c>
      <c r="E14" s="55" t="s">
        <v>7</v>
      </c>
      <c r="F14" s="55" t="s">
        <v>8</v>
      </c>
      <c r="G14" s="55" t="s">
        <v>9</v>
      </c>
      <c r="H14" s="55" t="s">
        <v>10</v>
      </c>
    </row>
    <row r="15" ht="11.25" customHeight="1" thickBot="1" thickTop="1"/>
    <row r="16" spans="1:8" ht="11.25" customHeight="1" thickTop="1">
      <c r="A16" s="56" t="s">
        <v>1</v>
      </c>
      <c r="B16" s="15" t="s">
        <v>67</v>
      </c>
      <c r="C16" s="15" t="s">
        <v>67</v>
      </c>
      <c r="D16" s="14" t="s">
        <v>67</v>
      </c>
      <c r="E16" s="15" t="s">
        <v>67</v>
      </c>
      <c r="F16" s="15" t="s">
        <v>13</v>
      </c>
      <c r="G16" s="15" t="s">
        <v>68</v>
      </c>
      <c r="H16" s="57" t="s">
        <v>67</v>
      </c>
    </row>
    <row r="17" spans="1:8" ht="11.25" customHeight="1">
      <c r="A17" s="58"/>
      <c r="B17" s="194" t="s">
        <v>43</v>
      </c>
      <c r="C17" s="194" t="s">
        <v>16</v>
      </c>
      <c r="D17" s="17" t="s">
        <v>69</v>
      </c>
      <c r="E17" s="18" t="s">
        <v>69</v>
      </c>
      <c r="F17" s="18" t="s">
        <v>17</v>
      </c>
      <c r="G17" s="18" t="s">
        <v>70</v>
      </c>
      <c r="H17" s="282" t="s">
        <v>43</v>
      </c>
    </row>
    <row r="18" spans="1:8" ht="11.25" customHeight="1">
      <c r="A18" s="58"/>
      <c r="B18" s="194" t="s">
        <v>48</v>
      </c>
      <c r="C18" s="194" t="s">
        <v>174</v>
      </c>
      <c r="D18" s="283" t="s">
        <v>175</v>
      </c>
      <c r="E18" s="18" t="s">
        <v>71</v>
      </c>
      <c r="F18" s="18" t="s">
        <v>21</v>
      </c>
      <c r="G18" s="194" t="s">
        <v>176</v>
      </c>
      <c r="H18" s="282" t="s">
        <v>48</v>
      </c>
    </row>
    <row r="19" spans="1:8" ht="11.25" customHeight="1">
      <c r="A19" s="58"/>
      <c r="B19" s="18"/>
      <c r="C19" s="194" t="s">
        <v>16</v>
      </c>
      <c r="D19" s="283" t="s">
        <v>177</v>
      </c>
      <c r="E19" s="194" t="s">
        <v>178</v>
      </c>
      <c r="F19" s="18" t="s">
        <v>25</v>
      </c>
      <c r="G19" s="18"/>
      <c r="H19" s="282" t="s">
        <v>22</v>
      </c>
    </row>
    <row r="20" spans="1:8" ht="11.25" customHeight="1">
      <c r="A20" s="58"/>
      <c r="B20" s="18"/>
      <c r="C20" s="194" t="s">
        <v>179</v>
      </c>
      <c r="D20" s="17"/>
      <c r="E20" s="18"/>
      <c r="F20" s="18"/>
      <c r="G20" s="18"/>
      <c r="H20" s="59"/>
    </row>
    <row r="21" spans="1:8" ht="11.25" customHeight="1" thickBot="1">
      <c r="A21" s="60"/>
      <c r="B21" s="61"/>
      <c r="C21" s="61"/>
      <c r="D21" s="62"/>
      <c r="E21" s="61" t="s">
        <v>72</v>
      </c>
      <c r="F21" s="63"/>
      <c r="G21" s="61" t="s">
        <v>35</v>
      </c>
      <c r="H21" s="20" t="s">
        <v>73</v>
      </c>
    </row>
    <row r="22" spans="1:8" s="65" customFormat="1" ht="11.25" customHeight="1" thickTop="1">
      <c r="A22" s="17"/>
      <c r="B22" s="17"/>
      <c r="C22" s="17"/>
      <c r="D22" s="17"/>
      <c r="E22" s="17"/>
      <c r="F22" s="64"/>
      <c r="G22" s="17"/>
      <c r="H22" s="17"/>
    </row>
    <row r="23" spans="1:8" ht="11.25" customHeight="1">
      <c r="A23" s="66">
        <v>39814</v>
      </c>
      <c r="B23" s="67">
        <f>'12'!C23+'12'!D23+'12'!E23+'12'!F23+'12'!G23</f>
        <v>91.25</v>
      </c>
      <c r="C23" s="68">
        <f>'13'!H25</f>
        <v>7.3</v>
      </c>
      <c r="D23" s="582">
        <v>127.47</v>
      </c>
      <c r="E23" s="69">
        <f>IF(C23-D23&lt;=0,0,C23-D23)</f>
        <v>0</v>
      </c>
      <c r="F23" s="91">
        <f>'02'!N22</f>
        <v>1.03816541</v>
      </c>
      <c r="G23" s="69">
        <f>E23*F23</f>
        <v>0</v>
      </c>
      <c r="H23" s="69">
        <f>B23*F23</f>
        <v>94.73</v>
      </c>
    </row>
    <row r="24" spans="1:8" ht="11.25" customHeight="1">
      <c r="A24" s="66">
        <v>39845</v>
      </c>
      <c r="B24" s="67">
        <f>'12'!C24+'12'!D24+'12'!E24+'12'!F24+'12'!G24</f>
        <v>47.17</v>
      </c>
      <c r="C24" s="68">
        <f>'13'!H26</f>
        <v>3.77</v>
      </c>
      <c r="D24" s="582">
        <v>202.82</v>
      </c>
      <c r="E24" s="69">
        <f aca="true" t="shared" si="0" ref="E24:E56">IF(C24-D24&lt;=0,0,C24-D24)</f>
        <v>0</v>
      </c>
      <c r="F24" s="91">
        <f>'02'!N23</f>
        <v>1.03769741</v>
      </c>
      <c r="G24" s="69">
        <f aca="true" t="shared" si="1" ref="G24:G56">E24*F24</f>
        <v>0</v>
      </c>
      <c r="H24" s="69">
        <f aca="true" t="shared" si="2" ref="H24:H56">B24*F24</f>
        <v>48.95</v>
      </c>
    </row>
    <row r="25" spans="1:8" ht="11.25" customHeight="1">
      <c r="A25" s="66">
        <v>39873</v>
      </c>
      <c r="B25" s="67">
        <f>'12'!C25+'12'!D25+'12'!E25+'12'!F25+'12'!G25</f>
        <v>180.9</v>
      </c>
      <c r="C25" s="68">
        <f>'13'!H27</f>
        <v>14.47</v>
      </c>
      <c r="D25" s="582">
        <v>192.4</v>
      </c>
      <c r="E25" s="69">
        <f t="shared" si="0"/>
        <v>0</v>
      </c>
      <c r="F25" s="91">
        <f>'02'!N24</f>
        <v>1.03620734</v>
      </c>
      <c r="G25" s="69">
        <f t="shared" si="1"/>
        <v>0</v>
      </c>
      <c r="H25" s="69">
        <f t="shared" si="2"/>
        <v>187.45</v>
      </c>
    </row>
    <row r="26" spans="1:8" ht="11.25" customHeight="1">
      <c r="A26" s="66">
        <v>39904</v>
      </c>
      <c r="B26" s="67">
        <f>'12'!C26+'12'!D26+'12'!E26+'12'!F26+'12'!G26</f>
        <v>147.09</v>
      </c>
      <c r="C26" s="68">
        <f>'13'!H28</f>
        <v>11.77</v>
      </c>
      <c r="D26" s="582">
        <v>290.21</v>
      </c>
      <c r="E26" s="69">
        <f t="shared" si="0"/>
        <v>0</v>
      </c>
      <c r="F26" s="91">
        <f>'02'!N25</f>
        <v>1.03573712</v>
      </c>
      <c r="G26" s="69">
        <f t="shared" si="1"/>
        <v>0</v>
      </c>
      <c r="H26" s="69">
        <f t="shared" si="2"/>
        <v>152.35</v>
      </c>
    </row>
    <row r="27" spans="1:8" ht="11.25" customHeight="1">
      <c r="A27" s="66">
        <v>39934</v>
      </c>
      <c r="B27" s="67">
        <f>'12'!C27+'12'!D27+'12'!E27+'12'!F27+'12'!G27</f>
        <v>0</v>
      </c>
      <c r="C27" s="68">
        <f>'13'!H29</f>
        <v>0</v>
      </c>
      <c r="D27" s="582">
        <v>328.67</v>
      </c>
      <c r="E27" s="69">
        <f t="shared" si="0"/>
        <v>0</v>
      </c>
      <c r="F27" s="91">
        <f>'02'!N26</f>
        <v>1.03527228</v>
      </c>
      <c r="G27" s="69">
        <f t="shared" si="1"/>
        <v>0</v>
      </c>
      <c r="H27" s="69">
        <f t="shared" si="2"/>
        <v>0</v>
      </c>
    </row>
    <row r="28" spans="1:8" ht="11.25" customHeight="1">
      <c r="A28" s="66">
        <v>39965</v>
      </c>
      <c r="B28" s="67">
        <f>'12'!C28+'12'!D28+'12'!E28+'12'!F28+'12'!G28</f>
        <v>0</v>
      </c>
      <c r="C28" s="68">
        <f>'13'!H30</f>
        <v>0</v>
      </c>
      <c r="D28" s="582">
        <v>274.66</v>
      </c>
      <c r="E28" s="69">
        <f t="shared" si="0"/>
        <v>0</v>
      </c>
      <c r="F28" s="91">
        <f>'02'!N27</f>
        <v>1.03459358</v>
      </c>
      <c r="G28" s="69">
        <f t="shared" si="1"/>
        <v>0</v>
      </c>
      <c r="H28" s="69">
        <f t="shared" si="2"/>
        <v>0</v>
      </c>
    </row>
    <row r="29" spans="1:8" ht="11.25" customHeight="1">
      <c r="A29" s="66">
        <v>39995</v>
      </c>
      <c r="B29" s="67">
        <f>'12'!C29+'12'!D29+'12'!E29+'12'!F29+'12'!G29</f>
        <v>0</v>
      </c>
      <c r="C29" s="68">
        <f>'13'!H31</f>
        <v>0</v>
      </c>
      <c r="D29" s="582">
        <v>279.7</v>
      </c>
      <c r="E29" s="69">
        <f t="shared" si="0"/>
        <v>0</v>
      </c>
      <c r="F29" s="91">
        <f>'02'!N28</f>
        <v>1.03350737</v>
      </c>
      <c r="G29" s="69">
        <f t="shared" si="1"/>
        <v>0</v>
      </c>
      <c r="H29" s="69">
        <f t="shared" si="2"/>
        <v>0</v>
      </c>
    </row>
    <row r="30" spans="1:8" ht="11.25" customHeight="1">
      <c r="A30" s="66">
        <v>40026</v>
      </c>
      <c r="B30" s="67">
        <f>'12'!C30+'12'!D30+'12'!E30+'12'!F30+'12'!G30</f>
        <v>116.4</v>
      </c>
      <c r="C30" s="68">
        <f>'13'!H32</f>
        <v>9.31</v>
      </c>
      <c r="D30" s="582">
        <v>295.32</v>
      </c>
      <c r="E30" s="69">
        <f t="shared" si="0"/>
        <v>0</v>
      </c>
      <c r="F30" s="91">
        <f>'02'!N29</f>
        <v>1.03330381</v>
      </c>
      <c r="G30" s="69">
        <f t="shared" si="1"/>
        <v>0</v>
      </c>
      <c r="H30" s="69">
        <f t="shared" si="2"/>
        <v>120.28</v>
      </c>
    </row>
    <row r="31" spans="1:8" ht="11.25" customHeight="1">
      <c r="A31" s="66">
        <v>40057</v>
      </c>
      <c r="B31" s="67">
        <f>'12'!C31+'12'!D31+'12'!E31+'12'!F31+'12'!G31</f>
        <v>217.43</v>
      </c>
      <c r="C31" s="68">
        <f>'13'!H33</f>
        <v>354.08</v>
      </c>
      <c r="D31" s="582">
        <v>354.08</v>
      </c>
      <c r="E31" s="69">
        <f t="shared" si="0"/>
        <v>0</v>
      </c>
      <c r="F31" s="91">
        <f>'02'!N30</f>
        <v>1.03330381</v>
      </c>
      <c r="G31" s="69">
        <f t="shared" si="1"/>
        <v>0</v>
      </c>
      <c r="H31" s="69">
        <f t="shared" si="2"/>
        <v>224.67</v>
      </c>
    </row>
    <row r="32" spans="1:8" ht="11.25" customHeight="1">
      <c r="A32" s="66">
        <v>40087</v>
      </c>
      <c r="B32" s="67">
        <f>'12'!C32+'12'!D32+'12'!E32+'12'!F32+'12'!G32</f>
        <v>71.7</v>
      </c>
      <c r="C32" s="68">
        <f>'13'!H34</f>
        <v>5.74</v>
      </c>
      <c r="D32" s="582">
        <v>218.4</v>
      </c>
      <c r="E32" s="69">
        <f t="shared" si="0"/>
        <v>0</v>
      </c>
      <c r="F32" s="91">
        <f>'02'!N31</f>
        <v>1.03330381</v>
      </c>
      <c r="G32" s="69">
        <f t="shared" si="1"/>
        <v>0</v>
      </c>
      <c r="H32" s="69">
        <f t="shared" si="2"/>
        <v>74.09</v>
      </c>
    </row>
    <row r="33" spans="1:8" ht="11.25" customHeight="1">
      <c r="A33" s="66">
        <v>40118</v>
      </c>
      <c r="B33" s="67">
        <f>'12'!C33+'12'!D33+'12'!E33+'12'!F33+'12'!G33</f>
        <v>80.08</v>
      </c>
      <c r="C33" s="68">
        <f>'13'!H35</f>
        <v>6.41</v>
      </c>
      <c r="D33" s="582">
        <v>327.37</v>
      </c>
      <c r="E33" s="69">
        <f t="shared" si="0"/>
        <v>0</v>
      </c>
      <c r="F33" s="91">
        <f>'02'!N32</f>
        <v>1.03330381</v>
      </c>
      <c r="G33" s="69">
        <f t="shared" si="1"/>
        <v>0</v>
      </c>
      <c r="H33" s="69">
        <f t="shared" si="2"/>
        <v>82.75</v>
      </c>
    </row>
    <row r="34" spans="1:8" ht="11.25" customHeight="1">
      <c r="A34" s="66">
        <v>40148</v>
      </c>
      <c r="B34" s="67">
        <f>'12'!C34+'12'!D34+'12'!E34+'12'!F34+'12'!G34</f>
        <v>152.7</v>
      </c>
      <c r="C34" s="68">
        <f>'13'!H36</f>
        <v>12.22</v>
      </c>
      <c r="D34" s="582">
        <v>219.46</v>
      </c>
      <c r="E34" s="69">
        <f t="shared" si="0"/>
        <v>0</v>
      </c>
      <c r="F34" s="91">
        <f>'02'!N33</f>
        <v>1.03275335</v>
      </c>
      <c r="G34" s="69">
        <f t="shared" si="1"/>
        <v>0</v>
      </c>
      <c r="H34" s="69">
        <f t="shared" si="2"/>
        <v>157.7</v>
      </c>
    </row>
    <row r="35" spans="1:8" ht="11.25" customHeight="1">
      <c r="A35" s="461" t="s">
        <v>295</v>
      </c>
      <c r="B35" s="67">
        <f>'12'!C35+'12'!D35+'12'!E35+'12'!F35+'12'!G35</f>
        <v>0</v>
      </c>
      <c r="C35" s="68">
        <f>'13'!H37</f>
        <v>0</v>
      </c>
      <c r="D35" s="582">
        <v>299.75</v>
      </c>
      <c r="E35" s="69">
        <f t="shared" si="0"/>
        <v>0</v>
      </c>
      <c r="F35" s="91">
        <f>'02'!N34</f>
        <v>1.03275335</v>
      </c>
      <c r="G35" s="69">
        <f t="shared" si="1"/>
        <v>0</v>
      </c>
      <c r="H35" s="69">
        <f t="shared" si="2"/>
        <v>0</v>
      </c>
    </row>
    <row r="36" spans="1:8" ht="11.25" customHeight="1">
      <c r="A36" s="66">
        <v>40179</v>
      </c>
      <c r="B36" s="67">
        <f>'12'!C36+'12'!D36+'12'!E36+'12'!F36+'12'!G36</f>
        <v>71.93</v>
      </c>
      <c r="C36" s="68">
        <f>'13'!H38</f>
        <v>5.75</v>
      </c>
      <c r="D36" s="582">
        <v>275.66</v>
      </c>
      <c r="E36" s="69">
        <f t="shared" si="0"/>
        <v>0</v>
      </c>
      <c r="F36" s="91">
        <f>'02'!N34</f>
        <v>1.03275335</v>
      </c>
      <c r="G36" s="69">
        <f t="shared" si="1"/>
        <v>0</v>
      </c>
      <c r="H36" s="69">
        <f t="shared" si="2"/>
        <v>74.29</v>
      </c>
    </row>
    <row r="37" spans="1:8" ht="11.25" customHeight="1">
      <c r="A37" s="66">
        <v>40210</v>
      </c>
      <c r="B37" s="67">
        <f>'12'!C37+'12'!D37+'12'!E37+'12'!F37+'12'!G37</f>
        <v>68.38</v>
      </c>
      <c r="C37" s="68">
        <f>'13'!H39</f>
        <v>5.47</v>
      </c>
      <c r="D37" s="582">
        <v>301.19</v>
      </c>
      <c r="E37" s="69">
        <f t="shared" si="0"/>
        <v>0</v>
      </c>
      <c r="F37" s="91">
        <f>'02'!N35</f>
        <v>1.03275335</v>
      </c>
      <c r="G37" s="69">
        <f t="shared" si="1"/>
        <v>0</v>
      </c>
      <c r="H37" s="69">
        <f t="shared" si="2"/>
        <v>70.62</v>
      </c>
    </row>
    <row r="38" spans="1:8" ht="11.25" customHeight="1">
      <c r="A38" s="66">
        <v>40238</v>
      </c>
      <c r="B38" s="67">
        <f>'12'!C38+'12'!D38+'12'!E38+'12'!F38+'12'!G38</f>
        <v>0</v>
      </c>
      <c r="C38" s="68">
        <f>'13'!H40</f>
        <v>0</v>
      </c>
      <c r="D38" s="582">
        <v>281.05</v>
      </c>
      <c r="E38" s="69">
        <f t="shared" si="0"/>
        <v>0</v>
      </c>
      <c r="F38" s="91">
        <f>'02'!N36</f>
        <v>1.03193606</v>
      </c>
      <c r="G38" s="69">
        <f t="shared" si="1"/>
        <v>0</v>
      </c>
      <c r="H38" s="69">
        <f t="shared" si="2"/>
        <v>0</v>
      </c>
    </row>
    <row r="39" spans="1:8" ht="11.25" customHeight="1">
      <c r="A39" s="66">
        <v>40269</v>
      </c>
      <c r="B39" s="67">
        <f>'12'!C39+'12'!D39+'12'!E39+'12'!F39+'12'!G39</f>
        <v>168.69</v>
      </c>
      <c r="C39" s="68">
        <f>'13'!H41</f>
        <v>13.5</v>
      </c>
      <c r="D39" s="582">
        <v>305.06</v>
      </c>
      <c r="E39" s="69">
        <f t="shared" si="0"/>
        <v>0</v>
      </c>
      <c r="F39" s="91">
        <f>'02'!N37</f>
        <v>1.03193606</v>
      </c>
      <c r="G39" s="69">
        <f t="shared" si="1"/>
        <v>0</v>
      </c>
      <c r="H39" s="69">
        <f t="shared" si="2"/>
        <v>174.08</v>
      </c>
    </row>
    <row r="40" spans="1:8" ht="11.25" customHeight="1">
      <c r="A40" s="66">
        <v>40299</v>
      </c>
      <c r="B40" s="67">
        <f>'12'!C40+'12'!D40+'12'!E40+'12'!F40+'12'!G40</f>
        <v>457.24</v>
      </c>
      <c r="C40" s="68">
        <f>'13'!H42</f>
        <v>381.41</v>
      </c>
      <c r="D40" s="582">
        <v>375.82</v>
      </c>
      <c r="E40" s="69">
        <f t="shared" si="0"/>
        <v>5.59</v>
      </c>
      <c r="F40" s="91">
        <f>'02'!N38</f>
        <v>1.03141004</v>
      </c>
      <c r="G40" s="69">
        <f t="shared" si="1"/>
        <v>5.77</v>
      </c>
      <c r="H40" s="69">
        <f t="shared" si="2"/>
        <v>471.6</v>
      </c>
    </row>
    <row r="41" spans="1:8" ht="11.25" customHeight="1">
      <c r="A41" s="66">
        <v>40330</v>
      </c>
      <c r="B41" s="67">
        <f>'12'!C41+'12'!D41+'12'!E41+'12'!F41+'12'!G41</f>
        <v>453.02</v>
      </c>
      <c r="C41" s="68">
        <f>'13'!H43</f>
        <v>381.41</v>
      </c>
      <c r="D41" s="582">
        <v>295.33</v>
      </c>
      <c r="E41" s="69">
        <f t="shared" si="0"/>
        <v>86.08</v>
      </c>
      <c r="F41" s="91">
        <f>'02'!N39</f>
        <v>1.03080289</v>
      </c>
      <c r="G41" s="69">
        <f t="shared" si="1"/>
        <v>88.73</v>
      </c>
      <c r="H41" s="69">
        <f t="shared" si="2"/>
        <v>466.97</v>
      </c>
    </row>
    <row r="42" spans="1:8" ht="11.25" customHeight="1">
      <c r="A42" s="66">
        <v>40360</v>
      </c>
      <c r="B42" s="67">
        <f>'12'!C42+'12'!D42+'12'!E42+'12'!F42+'12'!G42</f>
        <v>135.53</v>
      </c>
      <c r="C42" s="68">
        <f>'13'!H44</f>
        <v>10.84</v>
      </c>
      <c r="D42" s="582">
        <v>342.82</v>
      </c>
      <c r="E42" s="69">
        <f t="shared" si="0"/>
        <v>0</v>
      </c>
      <c r="F42" s="91">
        <f>'02'!N40</f>
        <v>1.0296178</v>
      </c>
      <c r="G42" s="69">
        <f t="shared" si="1"/>
        <v>0</v>
      </c>
      <c r="H42" s="69">
        <f t="shared" si="2"/>
        <v>139.54</v>
      </c>
    </row>
    <row r="43" spans="1:8" ht="11.25" customHeight="1">
      <c r="A43" s="66">
        <v>40391</v>
      </c>
      <c r="B43" s="67">
        <f>'12'!C43+'12'!D43+'12'!E43+'12'!F43+'12'!G43</f>
        <v>532.47</v>
      </c>
      <c r="C43" s="68">
        <f>'13'!H45</f>
        <v>381.41</v>
      </c>
      <c r="D43" s="582">
        <v>379.7</v>
      </c>
      <c r="E43" s="69">
        <f t="shared" si="0"/>
        <v>1.71</v>
      </c>
      <c r="F43" s="91">
        <f>'02'!N41</f>
        <v>1.02868273</v>
      </c>
      <c r="G43" s="69">
        <f t="shared" si="1"/>
        <v>1.76</v>
      </c>
      <c r="H43" s="69">
        <f t="shared" si="2"/>
        <v>547.74</v>
      </c>
    </row>
    <row r="44" spans="1:8" ht="11.25" customHeight="1">
      <c r="A44" s="66">
        <v>40422</v>
      </c>
      <c r="B44" s="67">
        <f>'12'!C44+'12'!D44+'12'!E44+'12'!F44+'12'!G44</f>
        <v>198.13</v>
      </c>
      <c r="C44" s="68">
        <f>'13'!H46</f>
        <v>381.41</v>
      </c>
      <c r="D44" s="582">
        <v>376.62</v>
      </c>
      <c r="E44" s="69">
        <f t="shared" si="0"/>
        <v>4.79</v>
      </c>
      <c r="F44" s="91">
        <f>'02'!N42</f>
        <v>1.0279611</v>
      </c>
      <c r="G44" s="69">
        <f t="shared" si="1"/>
        <v>4.92</v>
      </c>
      <c r="H44" s="69">
        <f t="shared" si="2"/>
        <v>203.67</v>
      </c>
    </row>
    <row r="45" spans="1:8" ht="11.25" customHeight="1">
      <c r="A45" s="66">
        <v>40452</v>
      </c>
      <c r="B45" s="67">
        <f>'12'!C45+'12'!D45+'12'!E45+'12'!F45+'12'!G45</f>
        <v>151.56</v>
      </c>
      <c r="C45" s="68">
        <f>'13'!H47</f>
        <v>381.41</v>
      </c>
      <c r="D45" s="582">
        <v>340.83</v>
      </c>
      <c r="E45" s="69">
        <f t="shared" si="0"/>
        <v>40.58</v>
      </c>
      <c r="F45" s="91">
        <f>'02'!N43</f>
        <v>1.02747613</v>
      </c>
      <c r="G45" s="69">
        <f t="shared" si="1"/>
        <v>41.69</v>
      </c>
      <c r="H45" s="69">
        <f t="shared" si="2"/>
        <v>155.72</v>
      </c>
    </row>
    <row r="46" spans="1:8" ht="11.25" customHeight="1">
      <c r="A46" s="66">
        <v>40483</v>
      </c>
      <c r="B46" s="67">
        <f>'12'!C46+'12'!D46+'12'!E46+'12'!F46+'12'!G46</f>
        <v>283.55</v>
      </c>
      <c r="C46" s="68">
        <f>'13'!H48</f>
        <v>22.68</v>
      </c>
      <c r="D46" s="582">
        <v>298.36</v>
      </c>
      <c r="E46" s="69">
        <f t="shared" si="0"/>
        <v>0</v>
      </c>
      <c r="F46" s="91">
        <f>'02'!N44</f>
        <v>1.02713102</v>
      </c>
      <c r="G46" s="69">
        <f t="shared" si="1"/>
        <v>0</v>
      </c>
      <c r="H46" s="69">
        <f t="shared" si="2"/>
        <v>291.24</v>
      </c>
    </row>
    <row r="47" spans="1:8" ht="11.25" customHeight="1">
      <c r="A47" s="66">
        <v>40513</v>
      </c>
      <c r="B47" s="67">
        <f>'12'!C47+'12'!D47+'12'!E47+'12'!F47+'12'!G47</f>
        <v>768.58</v>
      </c>
      <c r="C47" s="68">
        <f>'13'!H49</f>
        <v>381.41</v>
      </c>
      <c r="D47" s="582">
        <v>340.31</v>
      </c>
      <c r="E47" s="69">
        <f t="shared" si="0"/>
        <v>41.1</v>
      </c>
      <c r="F47" s="91">
        <f>'02'!N45</f>
        <v>1.0256889</v>
      </c>
      <c r="G47" s="69">
        <f t="shared" si="1"/>
        <v>42.16</v>
      </c>
      <c r="H47" s="69">
        <f t="shared" si="2"/>
        <v>788.32</v>
      </c>
    </row>
    <row r="48" spans="1:8" ht="11.25" customHeight="1">
      <c r="A48" s="461" t="s">
        <v>295</v>
      </c>
      <c r="B48" s="67">
        <f>'12'!C48+'12'!D48+'12'!E48+'12'!F48+'12'!G48</f>
        <v>0</v>
      </c>
      <c r="C48" s="68">
        <f>'13'!H50</f>
        <v>0</v>
      </c>
      <c r="D48" s="582">
        <v>201.34</v>
      </c>
      <c r="E48" s="69">
        <f t="shared" si="0"/>
        <v>0</v>
      </c>
      <c r="F48" s="91">
        <f>F47</f>
        <v>1.0256889</v>
      </c>
      <c r="G48" s="69">
        <f t="shared" si="1"/>
        <v>0</v>
      </c>
      <c r="H48" s="69">
        <f t="shared" si="2"/>
        <v>0</v>
      </c>
    </row>
    <row r="49" spans="1:8" ht="11.25" customHeight="1">
      <c r="A49" s="66">
        <v>40544</v>
      </c>
      <c r="B49" s="67">
        <f>'12'!C49+'12'!D49+'12'!E49+'12'!F49+'12'!G49</f>
        <v>1263.36</v>
      </c>
      <c r="C49" s="68">
        <f>'13'!H51</f>
        <v>405.86</v>
      </c>
      <c r="D49" s="582">
        <v>282.96</v>
      </c>
      <c r="E49" s="69">
        <f t="shared" si="0"/>
        <v>122.9</v>
      </c>
      <c r="F49" s="91">
        <f>'02'!N46</f>
        <v>1.02495606</v>
      </c>
      <c r="G49" s="69">
        <f t="shared" si="1"/>
        <v>125.97</v>
      </c>
      <c r="H49" s="69">
        <f t="shared" si="2"/>
        <v>1294.89</v>
      </c>
    </row>
    <row r="50" spans="1:8" ht="11.25" customHeight="1">
      <c r="A50" s="66">
        <v>40575</v>
      </c>
      <c r="B50" s="67">
        <f>'12'!C50+'12'!D50+'12'!E50+'12'!F50+'12'!G50</f>
        <v>430.48</v>
      </c>
      <c r="C50" s="68">
        <f>'13'!H52</f>
        <v>34.44</v>
      </c>
      <c r="D50" s="582">
        <v>214</v>
      </c>
      <c r="E50" s="69">
        <f t="shared" si="0"/>
        <v>0</v>
      </c>
      <c r="F50" s="91">
        <f>'02'!N47</f>
        <v>1.02441926</v>
      </c>
      <c r="G50" s="69">
        <f t="shared" si="1"/>
        <v>0</v>
      </c>
      <c r="H50" s="69">
        <f t="shared" si="2"/>
        <v>440.99</v>
      </c>
    </row>
    <row r="51" spans="1:8" ht="11.25" customHeight="1">
      <c r="A51" s="66">
        <v>40603</v>
      </c>
      <c r="B51" s="67">
        <f>'12'!C51+'12'!D51+'12'!E51+'12'!F51+'12'!G51</f>
        <v>249.88</v>
      </c>
      <c r="C51" s="68">
        <f>'13'!H53</f>
        <v>19.99</v>
      </c>
      <c r="D51" s="582">
        <v>222.69</v>
      </c>
      <c r="E51" s="69">
        <f t="shared" si="0"/>
        <v>0</v>
      </c>
      <c r="F51" s="91">
        <f>'02'!N48</f>
        <v>1.02317917</v>
      </c>
      <c r="G51" s="69">
        <f t="shared" si="1"/>
        <v>0</v>
      </c>
      <c r="H51" s="69">
        <f t="shared" si="2"/>
        <v>255.67</v>
      </c>
    </row>
    <row r="52" spans="1:8" ht="11.25" customHeight="1">
      <c r="A52" s="66">
        <v>40634</v>
      </c>
      <c r="B52" s="67">
        <f>'12'!C52+'12'!D52+'12'!E52+'12'!F52+'12'!G52</f>
        <v>244.4</v>
      </c>
      <c r="C52" s="68">
        <f>'13'!H54</f>
        <v>19.55</v>
      </c>
      <c r="D52" s="582">
        <v>78.1</v>
      </c>
      <c r="E52" s="69">
        <f t="shared" si="0"/>
        <v>0</v>
      </c>
      <c r="F52" s="91">
        <f>'02'!N49</f>
        <v>1.02280175</v>
      </c>
      <c r="G52" s="69">
        <f t="shared" si="1"/>
        <v>0</v>
      </c>
      <c r="H52" s="69">
        <f t="shared" si="2"/>
        <v>249.97</v>
      </c>
    </row>
    <row r="53" spans="1:8" ht="11.25" customHeight="1">
      <c r="A53" s="66">
        <v>40664</v>
      </c>
      <c r="B53" s="67">
        <f>'12'!C53+'12'!D53+'12'!E53+'12'!F53+'12'!G53</f>
        <v>463.58</v>
      </c>
      <c r="C53" s="68">
        <f>'13'!H55</f>
        <v>37.09</v>
      </c>
      <c r="D53" s="582">
        <v>228.31</v>
      </c>
      <c r="E53" s="69">
        <f t="shared" si="0"/>
        <v>0</v>
      </c>
      <c r="F53" s="91">
        <f>'02'!N50</f>
        <v>1.02119847</v>
      </c>
      <c r="G53" s="69">
        <f t="shared" si="1"/>
        <v>0</v>
      </c>
      <c r="H53" s="69">
        <f t="shared" si="2"/>
        <v>473.41</v>
      </c>
    </row>
    <row r="54" spans="1:8" ht="11.25" customHeight="1">
      <c r="A54" s="66">
        <v>40695</v>
      </c>
      <c r="B54" s="67">
        <f>'12'!C54+'12'!D54+'12'!E54+'12'!F54+'12'!G54</f>
        <v>0</v>
      </c>
      <c r="C54" s="68">
        <f>'13'!H56</f>
        <v>0</v>
      </c>
      <c r="D54" s="582">
        <v>277.41</v>
      </c>
      <c r="E54" s="69">
        <f t="shared" si="0"/>
        <v>0</v>
      </c>
      <c r="F54" s="91">
        <f>'02'!N51</f>
        <v>1.02006212</v>
      </c>
      <c r="G54" s="69">
        <f t="shared" si="1"/>
        <v>0</v>
      </c>
      <c r="H54" s="69">
        <f t="shared" si="2"/>
        <v>0</v>
      </c>
    </row>
    <row r="55" spans="1:8" ht="11.25" customHeight="1">
      <c r="A55" s="66">
        <v>40725</v>
      </c>
      <c r="B55" s="67">
        <f>'12'!C55+'12'!D55+'12'!E55+'12'!F55+'12'!G55</f>
        <v>0</v>
      </c>
      <c r="C55" s="68">
        <f>'13'!H57</f>
        <v>0</v>
      </c>
      <c r="D55" s="582">
        <v>216.04</v>
      </c>
      <c r="E55" s="69">
        <f t="shared" si="0"/>
        <v>0</v>
      </c>
      <c r="F55" s="91">
        <f>'02'!N52</f>
        <v>1.01881001</v>
      </c>
      <c r="G55" s="69">
        <f t="shared" si="1"/>
        <v>0</v>
      </c>
      <c r="H55" s="69">
        <f t="shared" si="2"/>
        <v>0</v>
      </c>
    </row>
    <row r="56" spans="1:8" ht="11.25" customHeight="1">
      <c r="A56" s="66">
        <v>40756</v>
      </c>
      <c r="B56" s="67">
        <f>'12'!C56+'12'!D56+'12'!E56+'12'!F56+'12'!G56</f>
        <v>4027.43</v>
      </c>
      <c r="C56" s="68">
        <f>'13'!H58</f>
        <v>406.09</v>
      </c>
      <c r="D56" s="582">
        <v>0</v>
      </c>
      <c r="E56" s="69">
        <f t="shared" si="0"/>
        <v>406.09</v>
      </c>
      <c r="F56" s="91">
        <f>'02'!N53</f>
        <v>1.01669934</v>
      </c>
      <c r="G56" s="69">
        <f t="shared" si="1"/>
        <v>412.87</v>
      </c>
      <c r="H56" s="69">
        <f t="shared" si="2"/>
        <v>4094.69</v>
      </c>
    </row>
    <row r="57" ht="11.25" customHeight="1">
      <c r="E57" s="70"/>
    </row>
    <row r="58" spans="2:8" s="52" customFormat="1" ht="11.25" customHeight="1">
      <c r="B58" s="284">
        <f>SUM(B23:B57)</f>
        <v>11072.93</v>
      </c>
      <c r="C58" s="284">
        <f>SUM(C23:C57)</f>
        <v>3694.79</v>
      </c>
      <c r="D58" s="284">
        <f>SUM(D23:D57)</f>
        <v>9043.91</v>
      </c>
      <c r="E58" s="284">
        <f>SUM(E23:E57)</f>
        <v>708.84</v>
      </c>
      <c r="G58" s="284">
        <f>SUM(G23:G57)</f>
        <v>723.87</v>
      </c>
      <c r="H58" s="284">
        <f>SUM(H23:H57)</f>
        <v>11336.38</v>
      </c>
    </row>
    <row r="59" ht="11.25" customHeight="1">
      <c r="E59" s="70"/>
    </row>
    <row r="60" ht="11.25" customHeight="1">
      <c r="E60" s="70"/>
    </row>
    <row r="61" spans="5:6" ht="11.25" customHeight="1">
      <c r="E61" s="132"/>
      <c r="F61" s="132" t="s">
        <v>457</v>
      </c>
    </row>
    <row r="62" spans="5:6" ht="11.25" customHeight="1">
      <c r="E62" s="613" t="s">
        <v>458</v>
      </c>
      <c r="F62" s="132"/>
    </row>
    <row r="63" ht="11.25" customHeight="1">
      <c r="E63" s="70"/>
    </row>
  </sheetData>
  <sheetProtection/>
  <printOptions/>
  <pageMargins left="1.1023622047244095" right="0.7086614173228347" top="0.8661417322834646" bottom="0.5905511811023623" header="0.31496062992125984" footer="0.31496062992125984"/>
  <pageSetup horizontalDpi="600" verticalDpi="600" orientation="portrait" paperSize="9" r:id="rId1"/>
  <headerFooter>
    <oddHeader>&amp;R
Anexo: 14
Folha : 0&amp;P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63"/>
  <sheetViews>
    <sheetView zoomScalePageLayoutView="0" workbookViewId="0" topLeftCell="A1">
      <selection activeCell="F14" sqref="F14"/>
    </sheetView>
  </sheetViews>
  <sheetFormatPr defaultColWidth="13.33203125" defaultRowHeight="10.5"/>
  <cols>
    <col min="1" max="1" width="64.66015625" style="16" customWidth="1"/>
    <col min="2" max="2" width="9.16015625" style="16" customWidth="1"/>
    <col min="3" max="3" width="16.16015625" style="71" customWidth="1"/>
    <col min="4" max="16384" width="13.33203125" style="16" customWidth="1"/>
  </cols>
  <sheetData>
    <row r="1" spans="1:3" s="611" customFormat="1" ht="14.25" customHeight="1">
      <c r="A1" s="610" t="s">
        <v>464</v>
      </c>
      <c r="B1" s="610"/>
      <c r="C1" s="610"/>
    </row>
    <row r="2" spans="1:3" s="107" customFormat="1" ht="10.5" customHeight="1">
      <c r="A2" s="132"/>
      <c r="B2" s="612"/>
      <c r="C2" s="132"/>
    </row>
    <row r="3" spans="1:3" s="107" customFormat="1" ht="10.5" customHeight="1">
      <c r="A3" s="132"/>
      <c r="B3" s="612"/>
      <c r="C3" s="132"/>
    </row>
    <row r="4" ht="1.5" customHeight="1" hidden="1">
      <c r="B4" s="71"/>
    </row>
    <row r="5" ht="1.5" customHeight="1" hidden="1">
      <c r="B5" s="71"/>
    </row>
    <row r="6" spans="1:3" ht="15" customHeight="1">
      <c r="A6" s="629" t="s">
        <v>139</v>
      </c>
      <c r="B6" s="629"/>
      <c r="C6" s="629"/>
    </row>
    <row r="7" spans="1:3" s="221" customFormat="1" ht="12.75" customHeight="1">
      <c r="A7" s="629" t="s">
        <v>140</v>
      </c>
      <c r="B7" s="629"/>
      <c r="C7" s="629"/>
    </row>
    <row r="8" ht="17.25" customHeight="1">
      <c r="B8" s="71"/>
    </row>
    <row r="9" spans="1:3" s="176" customFormat="1" ht="11.25" customHeight="1">
      <c r="A9" s="175" t="s">
        <v>451</v>
      </c>
      <c r="B9" s="53"/>
      <c r="C9" s="288"/>
    </row>
    <row r="10" spans="1:3" s="176" customFormat="1" ht="11.25" customHeight="1">
      <c r="A10" s="173" t="s">
        <v>453</v>
      </c>
      <c r="B10" s="16"/>
      <c r="C10" s="294"/>
    </row>
    <row r="11" spans="1:3" s="176" customFormat="1" ht="11.25" customHeight="1">
      <c r="A11" s="173" t="s">
        <v>454</v>
      </c>
      <c r="B11" s="16"/>
      <c r="C11" s="294"/>
    </row>
    <row r="12" spans="1:3" s="176" customFormat="1" ht="11.25" customHeight="1">
      <c r="A12" s="173" t="s">
        <v>452</v>
      </c>
      <c r="B12" s="16"/>
      <c r="C12" s="294"/>
    </row>
    <row r="13" spans="1:3" s="176" customFormat="1" ht="11.25" customHeight="1">
      <c r="A13" s="175" t="s">
        <v>455</v>
      </c>
      <c r="B13" s="53"/>
      <c r="C13" s="288"/>
    </row>
    <row r="14" spans="1:3" s="176" customFormat="1" ht="11.25" customHeight="1">
      <c r="A14" s="173" t="s">
        <v>235</v>
      </c>
      <c r="B14" s="16"/>
      <c r="C14" s="294"/>
    </row>
    <row r="15" spans="1:3" s="176" customFormat="1" ht="11.25" customHeight="1">
      <c r="A15" s="173" t="s">
        <v>236</v>
      </c>
      <c r="B15" s="16"/>
      <c r="C15" s="294"/>
    </row>
    <row r="16" spans="1:3" ht="10.5">
      <c r="A16" s="53"/>
      <c r="B16" s="71"/>
      <c r="C16" s="222"/>
    </row>
    <row r="17" spans="1:3" ht="13.5" customHeight="1">
      <c r="A17" s="53"/>
      <c r="B17" s="71"/>
      <c r="C17" s="222"/>
    </row>
    <row r="18" spans="1:3" ht="4.5" customHeight="1">
      <c r="A18" s="53"/>
      <c r="B18" s="71"/>
      <c r="C18" s="222"/>
    </row>
    <row r="19" spans="1:3" ht="10.5">
      <c r="A19" s="223" t="s">
        <v>141</v>
      </c>
      <c r="B19" s="224" t="s">
        <v>32</v>
      </c>
      <c r="C19" s="222">
        <f>'02'!O55+'03'!K55+'04'!K55+'05'!O58+'06'!K27</f>
        <v>13832.23</v>
      </c>
    </row>
    <row r="20" spans="1:3" ht="10.5">
      <c r="A20" s="225"/>
      <c r="B20" s="224"/>
      <c r="C20" s="222"/>
    </row>
    <row r="21" spans="1:3" ht="10.5">
      <c r="A21" s="225" t="s">
        <v>74</v>
      </c>
      <c r="B21" s="224" t="s">
        <v>32</v>
      </c>
      <c r="C21" s="226">
        <f>'05'!O56+'06'!T27</f>
        <v>2336.53</v>
      </c>
    </row>
    <row r="22" spans="1:3" ht="10.5">
      <c r="A22" s="225"/>
      <c r="B22" s="224"/>
      <c r="C22" s="226"/>
    </row>
    <row r="23" spans="1:3" ht="10.5">
      <c r="A23" s="223" t="s">
        <v>142</v>
      </c>
      <c r="B23" s="224" t="s">
        <v>32</v>
      </c>
      <c r="C23" s="222">
        <f>'05'!O55+'06'!P27</f>
        <v>1226.97</v>
      </c>
    </row>
    <row r="24" spans="1:3" ht="10.5">
      <c r="A24" s="225"/>
      <c r="B24" s="224"/>
      <c r="C24" s="222"/>
    </row>
    <row r="25" spans="1:3" ht="10.5">
      <c r="A25" s="225" t="s">
        <v>143</v>
      </c>
      <c r="B25" s="224" t="s">
        <v>32</v>
      </c>
      <c r="C25" s="222">
        <f>0</f>
        <v>0</v>
      </c>
    </row>
    <row r="26" spans="1:3" ht="10.5">
      <c r="A26" s="225"/>
      <c r="B26" s="224"/>
      <c r="C26" s="222"/>
    </row>
    <row r="27" spans="1:4" ht="10.5">
      <c r="A27" s="223" t="s">
        <v>144</v>
      </c>
      <c r="B27" s="224" t="s">
        <v>32</v>
      </c>
      <c r="C27" s="222">
        <f>'14'!G58</f>
        <v>723.87</v>
      </c>
      <c r="D27" s="227"/>
    </row>
    <row r="28" spans="1:4" ht="10.5">
      <c r="A28" s="223"/>
      <c r="B28" s="224"/>
      <c r="C28" s="222"/>
      <c r="D28" s="227"/>
    </row>
    <row r="29" spans="1:4" ht="10.5">
      <c r="A29" s="225" t="s">
        <v>75</v>
      </c>
      <c r="B29" s="224" t="s">
        <v>32</v>
      </c>
      <c r="C29" s="226">
        <f>'02'!T55+'03'!P55+'04'!P55+'05'!T58+'06'!R27</f>
        <v>1269.58</v>
      </c>
      <c r="D29" s="70"/>
    </row>
    <row r="30" spans="2:4" ht="10.5">
      <c r="B30" s="224"/>
      <c r="C30" s="222"/>
      <c r="D30" s="228"/>
    </row>
    <row r="31" spans="1:3" ht="10.5">
      <c r="A31" s="225" t="s">
        <v>76</v>
      </c>
      <c r="B31" s="224" t="s">
        <v>32</v>
      </c>
      <c r="C31" s="229">
        <f>C19-(C21+C23+C25+C27+C29)</f>
        <v>8275.28</v>
      </c>
    </row>
    <row r="32" spans="1:3" ht="10.5">
      <c r="A32" s="225"/>
      <c r="B32" s="224"/>
      <c r="C32" s="227"/>
    </row>
    <row r="33" spans="1:3" ht="10.5" customHeight="1">
      <c r="A33" s="173" t="s">
        <v>145</v>
      </c>
      <c r="B33" s="224"/>
      <c r="C33" s="230">
        <v>34</v>
      </c>
    </row>
    <row r="34" spans="1:5" ht="10.5">
      <c r="A34" s="225"/>
      <c r="B34" s="224"/>
      <c r="C34" s="222"/>
      <c r="E34" s="193"/>
    </row>
    <row r="35" spans="1:3" ht="10.5">
      <c r="A35" s="231" t="s">
        <v>146</v>
      </c>
      <c r="B35" s="232" t="s">
        <v>32</v>
      </c>
      <c r="C35" s="222">
        <f>C31/C33</f>
        <v>243.39</v>
      </c>
    </row>
    <row r="36" spans="1:3" ht="10.5">
      <c r="A36" s="225"/>
      <c r="B36" s="224"/>
      <c r="C36" s="222"/>
    </row>
    <row r="37" spans="1:3" ht="10.5">
      <c r="A37" s="16" t="s">
        <v>77</v>
      </c>
      <c r="B37" s="224" t="s">
        <v>32</v>
      </c>
      <c r="C37" s="233">
        <v>0</v>
      </c>
    </row>
    <row r="38" spans="1:3" ht="10.5">
      <c r="A38" s="225"/>
      <c r="B38" s="224"/>
      <c r="C38" s="234"/>
    </row>
    <row r="39" spans="1:3" ht="13.5" customHeight="1">
      <c r="A39" s="16" t="s">
        <v>78</v>
      </c>
      <c r="B39" s="224" t="s">
        <v>32</v>
      </c>
      <c r="C39" s="235">
        <f>C35*C37</f>
        <v>0</v>
      </c>
    </row>
    <row r="40" spans="2:3" ht="10.5">
      <c r="B40" s="224"/>
      <c r="C40" s="226"/>
    </row>
    <row r="41" spans="1:3" ht="10.5">
      <c r="A41" s="173" t="s">
        <v>147</v>
      </c>
      <c r="B41" s="224" t="s">
        <v>32</v>
      </c>
      <c r="C41" s="222">
        <v>0</v>
      </c>
    </row>
    <row r="42" spans="2:3" ht="10.5" customHeight="1">
      <c r="B42" s="224"/>
      <c r="C42" s="235" t="s">
        <v>148</v>
      </c>
    </row>
    <row r="43" ht="10.5" customHeight="1">
      <c r="B43" s="224"/>
    </row>
    <row r="44" spans="1:3" ht="10.5" customHeight="1">
      <c r="A44" s="52" t="s">
        <v>79</v>
      </c>
      <c r="B44" s="72" t="s">
        <v>32</v>
      </c>
      <c r="C44" s="78" t="s">
        <v>395</v>
      </c>
    </row>
    <row r="45" ht="15" customHeight="1"/>
    <row r="46" ht="12.75" customHeight="1"/>
    <row r="47" ht="25.5" customHeight="1" hidden="1"/>
    <row r="48" spans="1:3" s="237" customFormat="1" ht="12" customHeight="1">
      <c r="A48" s="236" t="s">
        <v>387</v>
      </c>
      <c r="B48" s="236"/>
      <c r="C48" s="236"/>
    </row>
    <row r="49" spans="1:3" ht="3.75" customHeight="1">
      <c r="A49"/>
      <c r="B49"/>
      <c r="C49"/>
    </row>
    <row r="50" spans="1:3" ht="11.25" customHeight="1">
      <c r="A50" s="238" t="s">
        <v>388</v>
      </c>
      <c r="B50"/>
      <c r="C50"/>
    </row>
    <row r="51" spans="1:3" ht="9.75" customHeight="1" thickBot="1">
      <c r="A51" s="239"/>
      <c r="B51"/>
      <c r="C51"/>
    </row>
    <row r="52" spans="1:3" s="242" customFormat="1" ht="32.25" customHeight="1" thickBot="1">
      <c r="A52" s="240" t="s">
        <v>149</v>
      </c>
      <c r="B52" s="241" t="s">
        <v>150</v>
      </c>
      <c r="C52" s="241" t="s">
        <v>151</v>
      </c>
    </row>
    <row r="53" spans="1:3" ht="11.25" thickBot="1">
      <c r="A53" s="583" t="s">
        <v>389</v>
      </c>
      <c r="B53" s="243" t="s">
        <v>33</v>
      </c>
      <c r="C53" s="243" t="s">
        <v>33</v>
      </c>
    </row>
    <row r="54" spans="1:3" ht="11.25" thickBot="1">
      <c r="A54" s="583" t="s">
        <v>390</v>
      </c>
      <c r="B54" s="243">
        <v>7.5</v>
      </c>
      <c r="C54" s="243">
        <v>140.12</v>
      </c>
    </row>
    <row r="55" spans="1:3" ht="11.25" thickBot="1">
      <c r="A55" s="583" t="s">
        <v>391</v>
      </c>
      <c r="B55" s="243">
        <v>15</v>
      </c>
      <c r="C55" s="243">
        <v>350.11</v>
      </c>
    </row>
    <row r="56" spans="1:3" ht="11.25" thickBot="1">
      <c r="A56" s="583" t="s">
        <v>392</v>
      </c>
      <c r="B56" s="243">
        <v>22.5</v>
      </c>
      <c r="C56" s="243">
        <v>630.1</v>
      </c>
    </row>
    <row r="57" spans="1:3" ht="11.25" thickBot="1">
      <c r="A57" s="583" t="s">
        <v>393</v>
      </c>
      <c r="B57" s="243">
        <v>27.5</v>
      </c>
      <c r="C57" s="243">
        <v>863.33</v>
      </c>
    </row>
    <row r="58" spans="1:3" ht="10.5">
      <c r="A58" s="244"/>
      <c r="B58" s="245"/>
      <c r="C58" s="245"/>
    </row>
    <row r="59" spans="1:3" ht="10.5">
      <c r="A59" s="246" t="s">
        <v>394</v>
      </c>
      <c r="B59" s="247"/>
      <c r="C59" s="247"/>
    </row>
    <row r="62" spans="1:2" ht="10.5">
      <c r="A62" s="132"/>
      <c r="B62" s="132" t="s">
        <v>457</v>
      </c>
    </row>
    <row r="63" spans="1:2" ht="12.75">
      <c r="A63" s="613" t="s">
        <v>458</v>
      </c>
      <c r="B63" s="132"/>
    </row>
  </sheetData>
  <sheetProtection/>
  <mergeCells count="2">
    <mergeCell ref="A6:C6"/>
    <mergeCell ref="A7:C7"/>
  </mergeCells>
  <printOptions/>
  <pageMargins left="1.299212598425197" right="0.7086614173228347" top="0.8661417322834646" bottom="0.7874015748031497" header="0.31496062992125984" footer="0.31496062992125984"/>
  <pageSetup horizontalDpi="600" verticalDpi="600" orientation="portrait" paperSize="9" r:id="rId1"/>
  <headerFooter>
    <oddHeader>&amp;R
Anexo: 15
Folha : 0&amp;P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M111"/>
  <sheetViews>
    <sheetView zoomScalePageLayoutView="0" workbookViewId="0" topLeftCell="A1">
      <selection activeCell="M27" sqref="M27"/>
    </sheetView>
  </sheetViews>
  <sheetFormatPr defaultColWidth="13.33203125" defaultRowHeight="10.5"/>
  <cols>
    <col min="1" max="1" width="1.5" style="4" customWidth="1"/>
    <col min="2" max="2" width="6.83203125" style="4" customWidth="1"/>
    <col min="3" max="3" width="3" style="4" customWidth="1"/>
    <col min="4" max="4" width="45.5" style="4" customWidth="1"/>
    <col min="5" max="5" width="14.16015625" style="4" customWidth="1"/>
    <col min="6" max="6" width="2.66015625" style="4" customWidth="1"/>
    <col min="7" max="7" width="12.16015625" style="4" customWidth="1"/>
    <col min="8" max="8" width="2.33203125" style="4" customWidth="1"/>
    <col min="9" max="9" width="15.66015625" style="4" customWidth="1"/>
    <col min="10" max="10" width="1.83203125" style="4" customWidth="1"/>
    <col min="11" max="11" width="13.33203125" style="4" customWidth="1"/>
    <col min="12" max="12" width="12.16015625" style="4" customWidth="1"/>
    <col min="13" max="16384" width="13.33203125" style="4" customWidth="1"/>
  </cols>
  <sheetData>
    <row r="1" spans="1:3" s="611" customFormat="1" ht="14.25" customHeight="1">
      <c r="A1" s="610" t="s">
        <v>464</v>
      </c>
      <c r="B1" s="610"/>
      <c r="C1" s="610"/>
    </row>
    <row r="2" spans="1:3" s="107" customFormat="1" ht="10.5" customHeight="1">
      <c r="A2" s="132"/>
      <c r="B2" s="612"/>
      <c r="C2" s="132"/>
    </row>
    <row r="3" spans="1:3" s="107" customFormat="1" ht="10.5" customHeight="1">
      <c r="A3" s="132"/>
      <c r="B3" s="612"/>
      <c r="C3" s="132"/>
    </row>
    <row r="4" spans="1:10" ht="18">
      <c r="A4" s="630" t="s">
        <v>30</v>
      </c>
      <c r="B4" s="630"/>
      <c r="C4" s="630"/>
      <c r="D4" s="630"/>
      <c r="E4" s="630"/>
      <c r="F4" s="630"/>
      <c r="G4" s="630"/>
      <c r="H4" s="630"/>
      <c r="I4" s="630"/>
      <c r="J4" s="630"/>
    </row>
    <row r="5" spans="1:10" ht="18.75" customHeight="1">
      <c r="A5" s="630"/>
      <c r="B5" s="630"/>
      <c r="C5" s="630"/>
      <c r="D5" s="630"/>
      <c r="E5" s="630"/>
      <c r="F5" s="630"/>
      <c r="G5" s="630"/>
      <c r="H5" s="630"/>
      <c r="I5" s="630"/>
      <c r="J5" s="630"/>
    </row>
    <row r="6" spans="1:3" s="176" customFormat="1" ht="11.25" customHeight="1">
      <c r="A6" s="175" t="s">
        <v>451</v>
      </c>
      <c r="B6" s="53"/>
      <c r="C6" s="288"/>
    </row>
    <row r="7" spans="1:3" s="176" customFormat="1" ht="11.25" customHeight="1">
      <c r="A7" s="173" t="s">
        <v>453</v>
      </c>
      <c r="B7" s="16"/>
      <c r="C7" s="294"/>
    </row>
    <row r="8" spans="1:3" s="176" customFormat="1" ht="11.25" customHeight="1">
      <c r="A8" s="173" t="s">
        <v>454</v>
      </c>
      <c r="B8" s="16"/>
      <c r="C8" s="294"/>
    </row>
    <row r="9" spans="1:3" s="176" customFormat="1" ht="11.25" customHeight="1">
      <c r="A9" s="173" t="s">
        <v>452</v>
      </c>
      <c r="B9" s="16"/>
      <c r="C9" s="294"/>
    </row>
    <row r="10" spans="1:3" s="176" customFormat="1" ht="11.25" customHeight="1">
      <c r="A10" s="175" t="s">
        <v>455</v>
      </c>
      <c r="B10" s="53"/>
      <c r="C10" s="288"/>
    </row>
    <row r="11" spans="1:3" s="176" customFormat="1" ht="11.25" customHeight="1">
      <c r="A11" s="173" t="s">
        <v>235</v>
      </c>
      <c r="B11" s="16"/>
      <c r="C11" s="294"/>
    </row>
    <row r="12" spans="1:3" s="176" customFormat="1" ht="11.25" customHeight="1">
      <c r="A12" s="173" t="s">
        <v>236</v>
      </c>
      <c r="B12" s="16"/>
      <c r="C12" s="294"/>
    </row>
    <row r="13" spans="1:6" ht="19.5" customHeight="1">
      <c r="A13" s="53"/>
      <c r="B13" s="53"/>
      <c r="C13" s="53"/>
      <c r="F13" s="22"/>
    </row>
    <row r="14" spans="1:10" ht="6.75" customHeight="1">
      <c r="A14" s="31"/>
      <c r="B14" s="32"/>
      <c r="C14" s="32"/>
      <c r="D14" s="32"/>
      <c r="E14" s="32"/>
      <c r="F14" s="33"/>
      <c r="G14" s="32"/>
      <c r="H14" s="32"/>
      <c r="I14" s="32"/>
      <c r="J14" s="34"/>
    </row>
    <row r="15" spans="1:10" ht="10.5">
      <c r="A15" s="35"/>
      <c r="B15" s="13"/>
      <c r="C15" s="13"/>
      <c r="D15" s="36" t="s">
        <v>31</v>
      </c>
      <c r="E15" s="13"/>
      <c r="F15" s="37"/>
      <c r="G15" s="38" t="s">
        <v>41</v>
      </c>
      <c r="H15" s="38"/>
      <c r="I15" s="38"/>
      <c r="J15" s="39"/>
    </row>
    <row r="16" spans="1:10" ht="10.5">
      <c r="A16" s="35"/>
      <c r="B16" s="13"/>
      <c r="C16" s="13"/>
      <c r="D16" s="13"/>
      <c r="E16" s="13"/>
      <c r="F16" s="40"/>
      <c r="G16" s="38" t="s">
        <v>42</v>
      </c>
      <c r="H16" s="38"/>
      <c r="I16" s="38"/>
      <c r="J16" s="39"/>
    </row>
    <row r="17" spans="1:10" ht="10.5">
      <c r="A17" s="35"/>
      <c r="B17" s="13"/>
      <c r="C17" s="13"/>
      <c r="D17" s="13"/>
      <c r="E17" s="13"/>
      <c r="F17" s="40"/>
      <c r="G17" s="37"/>
      <c r="H17" s="37"/>
      <c r="I17" s="37"/>
      <c r="J17" s="39"/>
    </row>
    <row r="18" spans="1:10" ht="11.25" customHeight="1">
      <c r="A18" s="35"/>
      <c r="B18" s="13"/>
      <c r="C18" s="13"/>
      <c r="D18" s="248" t="s">
        <v>396</v>
      </c>
      <c r="E18" s="13"/>
      <c r="F18" s="41"/>
      <c r="G18" s="13"/>
      <c r="H18" s="13"/>
      <c r="I18" s="13"/>
      <c r="J18" s="39"/>
    </row>
    <row r="19" spans="1:11" s="84" customFormat="1" ht="10.5">
      <c r="A19" s="79"/>
      <c r="B19" s="249" t="s">
        <v>152</v>
      </c>
      <c r="C19" s="250" t="s">
        <v>33</v>
      </c>
      <c r="D19" s="251" t="s">
        <v>153</v>
      </c>
      <c r="E19" s="252"/>
      <c r="F19" s="253" t="s">
        <v>20</v>
      </c>
      <c r="G19" s="254">
        <f>'02'!M55</f>
        <v>3466.13</v>
      </c>
      <c r="H19" s="254"/>
      <c r="I19" s="254"/>
      <c r="J19" s="255"/>
      <c r="K19" s="220"/>
    </row>
    <row r="20" spans="1:11" s="84" customFormat="1" ht="10.5">
      <c r="A20" s="79"/>
      <c r="B20" s="249" t="s">
        <v>154</v>
      </c>
      <c r="C20" s="250" t="s">
        <v>33</v>
      </c>
      <c r="D20" s="251" t="s">
        <v>155</v>
      </c>
      <c r="E20" s="252"/>
      <c r="F20" s="253" t="s">
        <v>20</v>
      </c>
      <c r="G20" s="254">
        <f>'02'!O55-'02'!M55</f>
        <v>92.53</v>
      </c>
      <c r="H20" s="254"/>
      <c r="I20" s="254"/>
      <c r="J20" s="255"/>
      <c r="K20" s="220"/>
    </row>
    <row r="21" spans="1:11" s="84" customFormat="1" ht="10.5">
      <c r="A21" s="79"/>
      <c r="B21" s="249" t="s">
        <v>156</v>
      </c>
      <c r="C21" s="250" t="s">
        <v>33</v>
      </c>
      <c r="D21" s="251" t="s">
        <v>157</v>
      </c>
      <c r="E21" s="252"/>
      <c r="F21" s="253" t="s">
        <v>20</v>
      </c>
      <c r="G21" s="254">
        <f>'02'!Q55</f>
        <v>1246.59</v>
      </c>
      <c r="H21" s="254"/>
      <c r="I21" s="254"/>
      <c r="J21" s="255"/>
      <c r="K21" s="220"/>
    </row>
    <row r="22" spans="1:11" s="84" customFormat="1" ht="3.75" customHeight="1">
      <c r="A22" s="79"/>
      <c r="B22" s="249"/>
      <c r="C22" s="249"/>
      <c r="D22" s="249"/>
      <c r="E22" s="249"/>
      <c r="F22" s="253"/>
      <c r="G22" s="249"/>
      <c r="H22" s="256"/>
      <c r="I22" s="256"/>
      <c r="J22" s="255"/>
      <c r="K22" s="220"/>
    </row>
    <row r="23" spans="1:13" s="84" customFormat="1" ht="12.75" customHeight="1">
      <c r="A23" s="79"/>
      <c r="B23" s="257" t="s">
        <v>158</v>
      </c>
      <c r="C23" s="258" t="s">
        <v>33</v>
      </c>
      <c r="D23" s="257" t="s">
        <v>159</v>
      </c>
      <c r="E23" s="257"/>
      <c r="F23" s="259"/>
      <c r="G23" s="260"/>
      <c r="H23" s="261" t="s">
        <v>20</v>
      </c>
      <c r="I23" s="262">
        <f>SUM(G19:G22)</f>
        <v>4805.25</v>
      </c>
      <c r="J23" s="255"/>
      <c r="K23" s="220"/>
      <c r="M23" s="609"/>
    </row>
    <row r="24" spans="1:11" s="84" customFormat="1" ht="11.25" customHeight="1">
      <c r="A24" s="79"/>
      <c r="B24" s="249"/>
      <c r="C24" s="250"/>
      <c r="D24" s="249"/>
      <c r="E24" s="249"/>
      <c r="F24" s="253"/>
      <c r="G24" s="261"/>
      <c r="H24" s="261"/>
      <c r="I24" s="263"/>
      <c r="J24" s="255"/>
      <c r="K24" s="220"/>
    </row>
    <row r="25" spans="1:11" s="84" customFormat="1" ht="11.25" customHeight="1">
      <c r="A25" s="79"/>
      <c r="B25" s="249"/>
      <c r="C25" s="249"/>
      <c r="D25" s="248" t="s">
        <v>397</v>
      </c>
      <c r="E25" s="249"/>
      <c r="F25" s="253"/>
      <c r="G25" s="249"/>
      <c r="H25" s="249"/>
      <c r="I25" s="249"/>
      <c r="J25" s="255"/>
      <c r="K25" s="220"/>
    </row>
    <row r="26" spans="1:11" s="84" customFormat="1" ht="11.25" customHeight="1">
      <c r="A26" s="79"/>
      <c r="B26" s="249" t="s">
        <v>160</v>
      </c>
      <c r="C26" s="250" t="s">
        <v>33</v>
      </c>
      <c r="D26" s="251" t="s">
        <v>153</v>
      </c>
      <c r="E26" s="252"/>
      <c r="F26" s="253" t="s">
        <v>20</v>
      </c>
      <c r="G26" s="254">
        <f>'03'!I55</f>
        <v>89.1</v>
      </c>
      <c r="H26" s="254"/>
      <c r="I26" s="254"/>
      <c r="J26" s="255"/>
      <c r="K26" s="220"/>
    </row>
    <row r="27" spans="1:11" s="84" customFormat="1" ht="11.25" customHeight="1">
      <c r="A27" s="79"/>
      <c r="B27" s="249" t="s">
        <v>161</v>
      </c>
      <c r="C27" s="250" t="s">
        <v>33</v>
      </c>
      <c r="D27" s="251" t="s">
        <v>155</v>
      </c>
      <c r="E27" s="252"/>
      <c r="F27" s="253" t="s">
        <v>20</v>
      </c>
      <c r="G27" s="254">
        <f>'03'!K55-'03'!I55</f>
        <v>2.69</v>
      </c>
      <c r="H27" s="254"/>
      <c r="I27" s="254"/>
      <c r="J27" s="255"/>
      <c r="K27" s="220"/>
    </row>
    <row r="28" spans="1:11" s="84" customFormat="1" ht="11.25" customHeight="1">
      <c r="A28" s="79"/>
      <c r="B28" s="249" t="s">
        <v>162</v>
      </c>
      <c r="C28" s="250" t="s">
        <v>33</v>
      </c>
      <c r="D28" s="251" t="s">
        <v>157</v>
      </c>
      <c r="E28" s="252"/>
      <c r="F28" s="253" t="s">
        <v>20</v>
      </c>
      <c r="G28" s="254">
        <f>'03'!M55</f>
        <v>32.15</v>
      </c>
      <c r="H28" s="254"/>
      <c r="I28" s="254"/>
      <c r="J28" s="255"/>
      <c r="K28" s="220"/>
    </row>
    <row r="29" spans="1:11" s="84" customFormat="1" ht="5.25" customHeight="1">
      <c r="A29" s="79"/>
      <c r="B29" s="249"/>
      <c r="C29" s="249"/>
      <c r="D29" s="249"/>
      <c r="E29" s="249"/>
      <c r="F29" s="253"/>
      <c r="G29" s="249"/>
      <c r="H29" s="256"/>
      <c r="I29" s="256"/>
      <c r="J29" s="255"/>
      <c r="K29" s="220"/>
    </row>
    <row r="30" spans="1:13" s="84" customFormat="1" ht="12.75" customHeight="1">
      <c r="A30" s="79"/>
      <c r="B30" s="257" t="s">
        <v>163</v>
      </c>
      <c r="C30" s="258" t="s">
        <v>33</v>
      </c>
      <c r="D30" s="257" t="s">
        <v>159</v>
      </c>
      <c r="E30" s="257"/>
      <c r="F30" s="259"/>
      <c r="G30" s="260"/>
      <c r="H30" s="261" t="s">
        <v>20</v>
      </c>
      <c r="I30" s="262">
        <f>SUM(G26:G29)</f>
        <v>123.94</v>
      </c>
      <c r="J30" s="255"/>
      <c r="K30" s="220"/>
      <c r="M30" s="609"/>
    </row>
    <row r="31" spans="1:11" s="84" customFormat="1" ht="11.25" customHeight="1">
      <c r="A31" s="79"/>
      <c r="B31" s="249"/>
      <c r="C31" s="250"/>
      <c r="D31" s="249"/>
      <c r="E31" s="249"/>
      <c r="F31" s="253"/>
      <c r="G31" s="261"/>
      <c r="H31" s="261"/>
      <c r="I31" s="263"/>
      <c r="J31" s="255"/>
      <c r="K31" s="220"/>
    </row>
    <row r="32" spans="1:11" s="84" customFormat="1" ht="11.25" customHeight="1">
      <c r="A32" s="79"/>
      <c r="B32" s="249"/>
      <c r="C32" s="249"/>
      <c r="D32" s="248" t="s">
        <v>398</v>
      </c>
      <c r="E32" s="249"/>
      <c r="F32" s="253"/>
      <c r="G32" s="249"/>
      <c r="H32" s="249"/>
      <c r="I32" s="249"/>
      <c r="J32" s="255"/>
      <c r="K32" s="220"/>
    </row>
    <row r="33" spans="1:11" s="84" customFormat="1" ht="9.75" customHeight="1">
      <c r="A33" s="79"/>
      <c r="B33" s="249" t="s">
        <v>164</v>
      </c>
      <c r="C33" s="250" t="s">
        <v>33</v>
      </c>
      <c r="D33" s="251" t="s">
        <v>153</v>
      </c>
      <c r="E33" s="252"/>
      <c r="F33" s="253" t="s">
        <v>20</v>
      </c>
      <c r="G33" s="254">
        <f>'04'!I55</f>
        <v>3440.3</v>
      </c>
      <c r="H33" s="254"/>
      <c r="I33" s="254"/>
      <c r="J33" s="255"/>
      <c r="K33" s="220"/>
    </row>
    <row r="34" spans="1:11" s="84" customFormat="1" ht="9.75" customHeight="1">
      <c r="A34" s="79"/>
      <c r="B34" s="249" t="s">
        <v>165</v>
      </c>
      <c r="C34" s="250" t="s">
        <v>33</v>
      </c>
      <c r="D34" s="251" t="s">
        <v>155</v>
      </c>
      <c r="E34" s="252"/>
      <c r="F34" s="253" t="s">
        <v>20</v>
      </c>
      <c r="G34" s="254">
        <f>'04'!K55-'04'!I55</f>
        <v>102.97</v>
      </c>
      <c r="H34" s="254"/>
      <c r="I34" s="254"/>
      <c r="J34" s="255"/>
      <c r="K34" s="220"/>
    </row>
    <row r="35" spans="1:11" s="84" customFormat="1" ht="9.75" customHeight="1">
      <c r="A35" s="79"/>
      <c r="B35" s="249" t="s">
        <v>166</v>
      </c>
      <c r="C35" s="250" t="s">
        <v>33</v>
      </c>
      <c r="D35" s="251" t="s">
        <v>157</v>
      </c>
      <c r="E35" s="252"/>
      <c r="F35" s="253" t="s">
        <v>20</v>
      </c>
      <c r="G35" s="254">
        <f>'04'!M55</f>
        <v>1241.2</v>
      </c>
      <c r="H35" s="254"/>
      <c r="I35" s="254"/>
      <c r="J35" s="255"/>
      <c r="K35" s="220"/>
    </row>
    <row r="36" spans="1:11" s="84" customFormat="1" ht="3.75" customHeight="1">
      <c r="A36" s="79"/>
      <c r="B36" s="249"/>
      <c r="C36" s="249"/>
      <c r="D36" s="249"/>
      <c r="E36" s="249"/>
      <c r="F36" s="253"/>
      <c r="G36" s="249"/>
      <c r="H36" s="256"/>
      <c r="I36" s="256"/>
      <c r="J36" s="255"/>
      <c r="K36" s="220"/>
    </row>
    <row r="37" spans="1:11" s="84" customFormat="1" ht="12.75" customHeight="1">
      <c r="A37" s="79"/>
      <c r="B37" s="257" t="s">
        <v>167</v>
      </c>
      <c r="C37" s="258" t="s">
        <v>33</v>
      </c>
      <c r="D37" s="257" t="s">
        <v>159</v>
      </c>
      <c r="E37" s="257"/>
      <c r="F37" s="259"/>
      <c r="G37" s="260"/>
      <c r="H37" s="261" t="s">
        <v>20</v>
      </c>
      <c r="I37" s="262">
        <f>SUM(G33:G36)</f>
        <v>4784.47</v>
      </c>
      <c r="J37" s="255"/>
      <c r="K37" s="220"/>
    </row>
    <row r="38" spans="1:11" s="84" customFormat="1" ht="11.25" customHeight="1">
      <c r="A38" s="79"/>
      <c r="B38" s="249"/>
      <c r="C38" s="250"/>
      <c r="D38" s="249"/>
      <c r="E38" s="249"/>
      <c r="F38" s="253"/>
      <c r="G38" s="261"/>
      <c r="H38" s="261"/>
      <c r="I38" s="262"/>
      <c r="J38" s="255"/>
      <c r="K38" s="220"/>
    </row>
    <row r="39" spans="1:11" s="84" customFormat="1" ht="11.25" customHeight="1">
      <c r="A39" s="79"/>
      <c r="B39" s="249"/>
      <c r="C39" s="249"/>
      <c r="D39" s="248" t="s">
        <v>399</v>
      </c>
      <c r="E39" s="249"/>
      <c r="F39" s="253"/>
      <c r="G39" s="249"/>
      <c r="H39" s="249"/>
      <c r="I39" s="249"/>
      <c r="J39" s="255"/>
      <c r="K39" s="220"/>
    </row>
    <row r="40" spans="1:11" s="84" customFormat="1" ht="9.75" customHeight="1">
      <c r="A40" s="79"/>
      <c r="B40" s="272" t="s">
        <v>168</v>
      </c>
      <c r="C40" s="250" t="s">
        <v>33</v>
      </c>
      <c r="D40" s="251" t="s">
        <v>153</v>
      </c>
      <c r="E40" s="252"/>
      <c r="F40" s="253" t="s">
        <v>20</v>
      </c>
      <c r="G40" s="254">
        <f>'05'!M58</f>
        <v>1387.98</v>
      </c>
      <c r="H40" s="254"/>
      <c r="I40" s="254"/>
      <c r="J40" s="255"/>
      <c r="K40" s="220"/>
    </row>
    <row r="41" spans="1:11" s="84" customFormat="1" ht="9.75" customHeight="1">
      <c r="A41" s="79"/>
      <c r="B41" s="272" t="s">
        <v>227</v>
      </c>
      <c r="C41" s="250" t="s">
        <v>33</v>
      </c>
      <c r="D41" s="369" t="s">
        <v>400</v>
      </c>
      <c r="E41" s="252"/>
      <c r="F41" s="253" t="s">
        <v>20</v>
      </c>
      <c r="G41" s="254">
        <f>'05'!O58-'05'!M58</f>
        <v>28.36</v>
      </c>
      <c r="H41" s="254"/>
      <c r="I41" s="254"/>
      <c r="J41" s="255"/>
      <c r="K41" s="220"/>
    </row>
    <row r="42" spans="1:11" s="84" customFormat="1" ht="9.75" customHeight="1">
      <c r="A42" s="79"/>
      <c r="B42" s="272" t="s">
        <v>228</v>
      </c>
      <c r="C42" s="250" t="s">
        <v>33</v>
      </c>
      <c r="D42" s="251" t="s">
        <v>157</v>
      </c>
      <c r="E42" s="252"/>
      <c r="F42" s="253" t="s">
        <v>20</v>
      </c>
      <c r="G42" s="254">
        <f>'05'!Q58</f>
        <v>496.14</v>
      </c>
      <c r="H42" s="254"/>
      <c r="I42" s="254"/>
      <c r="J42" s="255"/>
      <c r="K42" s="220"/>
    </row>
    <row r="43" spans="1:11" s="84" customFormat="1" ht="3.75" customHeight="1">
      <c r="A43" s="79"/>
      <c r="B43" s="249"/>
      <c r="C43" s="249"/>
      <c r="D43" s="249"/>
      <c r="E43" s="249"/>
      <c r="F43" s="253"/>
      <c r="G43" s="249"/>
      <c r="H43" s="256"/>
      <c r="I43" s="256"/>
      <c r="J43" s="255"/>
      <c r="K43" s="220"/>
    </row>
    <row r="44" spans="1:13" s="84" customFormat="1" ht="12.75" customHeight="1">
      <c r="A44" s="79"/>
      <c r="B44" s="370" t="s">
        <v>229</v>
      </c>
      <c r="C44" s="258" t="s">
        <v>33</v>
      </c>
      <c r="D44" s="257" t="s">
        <v>159</v>
      </c>
      <c r="E44" s="257"/>
      <c r="F44" s="259"/>
      <c r="G44" s="260"/>
      <c r="H44" s="261" t="s">
        <v>20</v>
      </c>
      <c r="I44" s="262">
        <f>SUM(G40:G43)</f>
        <v>1912.48</v>
      </c>
      <c r="J44" s="255"/>
      <c r="K44" s="220"/>
      <c r="M44" s="609"/>
    </row>
    <row r="45" spans="1:11" s="84" customFormat="1" ht="11.25" customHeight="1">
      <c r="A45" s="79"/>
      <c r="B45" s="249"/>
      <c r="C45" s="250"/>
      <c r="D45" s="249"/>
      <c r="E45" s="249"/>
      <c r="F45" s="253"/>
      <c r="G45" s="261"/>
      <c r="H45" s="261"/>
      <c r="I45" s="262"/>
      <c r="J45" s="255"/>
      <c r="K45" s="220"/>
    </row>
    <row r="46" spans="1:11" s="84" customFormat="1" ht="11.25" customHeight="1">
      <c r="A46" s="79"/>
      <c r="B46" s="249"/>
      <c r="C46" s="249"/>
      <c r="D46" s="248" t="s">
        <v>401</v>
      </c>
      <c r="E46" s="249"/>
      <c r="F46" s="253"/>
      <c r="G46" s="249"/>
      <c r="H46" s="249"/>
      <c r="I46" s="249"/>
      <c r="J46" s="255"/>
      <c r="K46" s="220"/>
    </row>
    <row r="47" spans="1:11" s="84" customFormat="1" ht="9.75" customHeight="1">
      <c r="A47" s="79"/>
      <c r="B47" s="272" t="s">
        <v>230</v>
      </c>
      <c r="C47" s="250" t="s">
        <v>33</v>
      </c>
      <c r="D47" s="251" t="s">
        <v>153</v>
      </c>
      <c r="E47" s="252"/>
      <c r="F47" s="253" t="s">
        <v>20</v>
      </c>
      <c r="G47" s="254">
        <f>'06'!I27</f>
        <v>5136.39</v>
      </c>
      <c r="H47" s="254"/>
      <c r="I47" s="254"/>
      <c r="J47" s="255"/>
      <c r="K47" s="220"/>
    </row>
    <row r="48" spans="1:11" s="84" customFormat="1" ht="9.75" customHeight="1">
      <c r="A48" s="79"/>
      <c r="B48" s="272" t="s">
        <v>231</v>
      </c>
      <c r="C48" s="250" t="s">
        <v>33</v>
      </c>
      <c r="D48" s="251" t="s">
        <v>155</v>
      </c>
      <c r="E48" s="252"/>
      <c r="F48" s="253" t="s">
        <v>20</v>
      </c>
      <c r="G48" s="254">
        <f>'06'!K27-'06'!I27</f>
        <v>85.78</v>
      </c>
      <c r="H48" s="254"/>
      <c r="I48" s="254"/>
      <c r="J48" s="255"/>
      <c r="K48" s="220"/>
    </row>
    <row r="49" spans="1:11" s="84" customFormat="1" ht="9.75" customHeight="1">
      <c r="A49" s="79"/>
      <c r="B49" s="272" t="s">
        <v>232</v>
      </c>
      <c r="C49" s="250" t="s">
        <v>33</v>
      </c>
      <c r="D49" s="251" t="s">
        <v>157</v>
      </c>
      <c r="E49" s="252"/>
      <c r="F49" s="253" t="s">
        <v>20</v>
      </c>
      <c r="G49" s="254">
        <f>'06'!M27</f>
        <v>1829.32</v>
      </c>
      <c r="H49" s="254"/>
      <c r="I49" s="254"/>
      <c r="J49" s="255"/>
      <c r="K49" s="220"/>
    </row>
    <row r="50" spans="1:11" s="84" customFormat="1" ht="3.75" customHeight="1">
      <c r="A50" s="79"/>
      <c r="B50" s="249"/>
      <c r="C50" s="249"/>
      <c r="D50" s="249"/>
      <c r="E50" s="249"/>
      <c r="F50" s="253"/>
      <c r="G50" s="249"/>
      <c r="H50" s="256"/>
      <c r="I50" s="256"/>
      <c r="J50" s="255"/>
      <c r="K50" s="220"/>
    </row>
    <row r="51" spans="1:11" s="84" customFormat="1" ht="12.75" customHeight="1">
      <c r="A51" s="79"/>
      <c r="B51" s="370" t="s">
        <v>233</v>
      </c>
      <c r="C51" s="258" t="s">
        <v>33</v>
      </c>
      <c r="D51" s="257" t="s">
        <v>159</v>
      </c>
      <c r="E51" s="257"/>
      <c r="F51" s="259"/>
      <c r="G51" s="260"/>
      <c r="H51" s="261" t="s">
        <v>20</v>
      </c>
      <c r="I51" s="262">
        <f>SUM(G47:G50)</f>
        <v>7051.49</v>
      </c>
      <c r="J51" s="255"/>
      <c r="K51" s="220"/>
    </row>
    <row r="52" spans="1:11" s="84" customFormat="1" ht="12.75" customHeight="1">
      <c r="A52" s="79"/>
      <c r="B52" s="272"/>
      <c r="C52" s="250"/>
      <c r="D52" s="249"/>
      <c r="E52" s="249"/>
      <c r="F52" s="253"/>
      <c r="G52" s="261"/>
      <c r="H52" s="261"/>
      <c r="I52" s="262"/>
      <c r="J52" s="255"/>
      <c r="K52" s="220"/>
    </row>
    <row r="53" spans="1:11" s="84" customFormat="1" ht="11.25" customHeight="1">
      <c r="A53" s="79"/>
      <c r="B53" s="249"/>
      <c r="C53" s="249"/>
      <c r="D53" s="248" t="s">
        <v>402</v>
      </c>
      <c r="E53" s="249"/>
      <c r="F53" s="253"/>
      <c r="G53" s="249"/>
      <c r="H53" s="249"/>
      <c r="I53" s="249"/>
      <c r="J53" s="255"/>
      <c r="K53" s="220"/>
    </row>
    <row r="54" spans="1:11" s="84" customFormat="1" ht="9.75" customHeight="1">
      <c r="A54" s="79"/>
      <c r="B54" s="272" t="s">
        <v>407</v>
      </c>
      <c r="C54" s="250" t="s">
        <v>33</v>
      </c>
      <c r="D54" s="251" t="s">
        <v>153</v>
      </c>
      <c r="E54" s="252"/>
      <c r="F54" s="253" t="s">
        <v>20</v>
      </c>
      <c r="G54" s="254">
        <f>'07'!D22</f>
        <v>5051.7</v>
      </c>
      <c r="H54" s="254"/>
      <c r="I54" s="254"/>
      <c r="J54" s="255"/>
      <c r="K54" s="220"/>
    </row>
    <row r="55" spans="1:11" s="84" customFormat="1" ht="9.75" customHeight="1">
      <c r="A55" s="79"/>
      <c r="B55" s="272" t="s">
        <v>408</v>
      </c>
      <c r="C55" s="250" t="s">
        <v>33</v>
      </c>
      <c r="D55" s="251" t="s">
        <v>155</v>
      </c>
      <c r="E55" s="252"/>
      <c r="F55" s="253" t="s">
        <v>20</v>
      </c>
      <c r="G55" s="254">
        <f>'07'!F22-'07'!D22</f>
        <v>84.36</v>
      </c>
      <c r="H55" s="254"/>
      <c r="I55" s="254"/>
      <c r="J55" s="255"/>
      <c r="K55" s="220"/>
    </row>
    <row r="56" spans="1:11" s="84" customFormat="1" ht="9.75" customHeight="1">
      <c r="A56" s="79"/>
      <c r="B56" s="272" t="s">
        <v>409</v>
      </c>
      <c r="C56" s="250" t="s">
        <v>33</v>
      </c>
      <c r="D56" s="251" t="s">
        <v>157</v>
      </c>
      <c r="E56" s="252"/>
      <c r="F56" s="253" t="s">
        <v>20</v>
      </c>
      <c r="G56" s="254">
        <f>'07'!H22</f>
        <v>1799.16</v>
      </c>
      <c r="H56" s="254"/>
      <c r="I56" s="254"/>
      <c r="J56" s="255"/>
      <c r="K56" s="220"/>
    </row>
    <row r="57" spans="1:11" s="84" customFormat="1" ht="3.75" customHeight="1">
      <c r="A57" s="79"/>
      <c r="B57" s="249"/>
      <c r="C57" s="249"/>
      <c r="D57" s="249"/>
      <c r="E57" s="249"/>
      <c r="F57" s="253"/>
      <c r="G57" s="249"/>
      <c r="H57" s="256"/>
      <c r="I57" s="256"/>
      <c r="J57" s="255"/>
      <c r="K57" s="220"/>
    </row>
    <row r="58" spans="1:11" s="84" customFormat="1" ht="12.75" customHeight="1">
      <c r="A58" s="79"/>
      <c r="B58" s="370" t="s">
        <v>410</v>
      </c>
      <c r="C58" s="258" t="s">
        <v>33</v>
      </c>
      <c r="D58" s="257" t="s">
        <v>159</v>
      </c>
      <c r="E58" s="257"/>
      <c r="F58" s="259"/>
      <c r="G58" s="260"/>
      <c r="H58" s="261" t="s">
        <v>20</v>
      </c>
      <c r="I58" s="262">
        <f>SUM(G54:G57)</f>
        <v>6935.22</v>
      </c>
      <c r="J58" s="255"/>
      <c r="K58" s="220"/>
    </row>
    <row r="59" spans="1:11" s="84" customFormat="1" ht="12.75" customHeight="1">
      <c r="A59" s="79"/>
      <c r="B59" s="272"/>
      <c r="C59" s="250"/>
      <c r="D59" s="249"/>
      <c r="E59" s="249"/>
      <c r="F59" s="253"/>
      <c r="G59" s="261"/>
      <c r="H59" s="261"/>
      <c r="I59" s="262"/>
      <c r="J59" s="255"/>
      <c r="K59" s="220"/>
    </row>
    <row r="60" spans="1:11" s="84" customFormat="1" ht="11.25" customHeight="1">
      <c r="A60" s="79"/>
      <c r="B60" s="249"/>
      <c r="C60" s="249"/>
      <c r="D60" s="248" t="s">
        <v>403</v>
      </c>
      <c r="E60" s="249"/>
      <c r="F60" s="253"/>
      <c r="G60" s="249"/>
      <c r="H60" s="249"/>
      <c r="I60" s="249"/>
      <c r="J60" s="255"/>
      <c r="K60" s="220"/>
    </row>
    <row r="61" spans="1:11" s="84" customFormat="1" ht="9.75" customHeight="1">
      <c r="A61" s="79"/>
      <c r="B61" s="272" t="s">
        <v>411</v>
      </c>
      <c r="C61" s="250" t="s">
        <v>33</v>
      </c>
      <c r="D61" s="251" t="s">
        <v>153</v>
      </c>
      <c r="E61" s="252"/>
      <c r="F61" s="253" t="s">
        <v>20</v>
      </c>
      <c r="G61" s="254">
        <f>'08'!D23</f>
        <v>2008.6</v>
      </c>
      <c r="H61" s="254"/>
      <c r="I61" s="254"/>
      <c r="J61" s="255"/>
      <c r="K61" s="220"/>
    </row>
    <row r="62" spans="1:11" s="84" customFormat="1" ht="9.75" customHeight="1">
      <c r="A62" s="79"/>
      <c r="B62" s="272" t="s">
        <v>412</v>
      </c>
      <c r="C62" s="250" t="s">
        <v>33</v>
      </c>
      <c r="D62" s="251" t="s">
        <v>155</v>
      </c>
      <c r="E62" s="252"/>
      <c r="F62" s="253" t="s">
        <v>20</v>
      </c>
      <c r="G62" s="254">
        <f>'08'!F23-'08'!D23</f>
        <v>33.54</v>
      </c>
      <c r="H62" s="254"/>
      <c r="I62" s="254"/>
      <c r="J62" s="255"/>
      <c r="K62" s="220"/>
    </row>
    <row r="63" spans="1:11" s="84" customFormat="1" ht="9.75" customHeight="1">
      <c r="A63" s="79"/>
      <c r="B63" s="272" t="s">
        <v>413</v>
      </c>
      <c r="C63" s="250" t="s">
        <v>33</v>
      </c>
      <c r="D63" s="251" t="s">
        <v>157</v>
      </c>
      <c r="E63" s="252"/>
      <c r="F63" s="253" t="s">
        <v>20</v>
      </c>
      <c r="G63" s="254">
        <f>'08'!H23</f>
        <v>715.36</v>
      </c>
      <c r="H63" s="254"/>
      <c r="I63" s="254"/>
      <c r="J63" s="255"/>
      <c r="K63" s="220"/>
    </row>
    <row r="64" spans="1:11" s="84" customFormat="1" ht="3.75" customHeight="1">
      <c r="A64" s="79"/>
      <c r="B64" s="249"/>
      <c r="C64" s="249"/>
      <c r="D64" s="249"/>
      <c r="E64" s="249"/>
      <c r="F64" s="253"/>
      <c r="G64" s="249"/>
      <c r="H64" s="256"/>
      <c r="I64" s="256"/>
      <c r="J64" s="255"/>
      <c r="K64" s="220"/>
    </row>
    <row r="65" spans="1:13" s="84" customFormat="1" ht="12.75" customHeight="1">
      <c r="A65" s="586"/>
      <c r="B65" s="587" t="s">
        <v>414</v>
      </c>
      <c r="C65" s="588" t="s">
        <v>33</v>
      </c>
      <c r="D65" s="589" t="s">
        <v>159</v>
      </c>
      <c r="E65" s="589"/>
      <c r="F65" s="590"/>
      <c r="G65" s="591"/>
      <c r="H65" s="592" t="s">
        <v>20</v>
      </c>
      <c r="I65" s="593">
        <f>SUM(G61:G64)</f>
        <v>2757.5</v>
      </c>
      <c r="J65" s="594"/>
      <c r="K65" s="220"/>
      <c r="M65" s="609"/>
    </row>
    <row r="66" spans="1:11" s="84" customFormat="1" ht="17.25" customHeight="1">
      <c r="A66" s="595"/>
      <c r="B66" s="370"/>
      <c r="C66" s="258"/>
      <c r="D66" s="257"/>
      <c r="E66" s="257"/>
      <c r="F66" s="259"/>
      <c r="G66" s="260"/>
      <c r="H66" s="260"/>
      <c r="I66" s="596"/>
      <c r="J66" s="597"/>
      <c r="K66" s="220"/>
    </row>
    <row r="67" spans="1:11" s="84" customFormat="1" ht="11.25" customHeight="1">
      <c r="A67" s="79"/>
      <c r="B67" s="249"/>
      <c r="C67" s="249"/>
      <c r="D67" s="248" t="s">
        <v>404</v>
      </c>
      <c r="E67" s="249"/>
      <c r="F67" s="253"/>
      <c r="G67" s="249"/>
      <c r="H67" s="249"/>
      <c r="I67" s="249"/>
      <c r="J67" s="255"/>
      <c r="K67" s="220"/>
    </row>
    <row r="68" spans="1:11" s="84" customFormat="1" ht="9.75" customHeight="1">
      <c r="A68" s="79"/>
      <c r="B68" s="272" t="s">
        <v>415</v>
      </c>
      <c r="C68" s="250" t="s">
        <v>33</v>
      </c>
      <c r="D68" s="251" t="s">
        <v>153</v>
      </c>
      <c r="E68" s="252"/>
      <c r="F68" s="253" t="s">
        <v>20</v>
      </c>
      <c r="G68" s="254">
        <f>'09'!G59</f>
        <v>1522.7</v>
      </c>
      <c r="H68" s="254"/>
      <c r="I68" s="254"/>
      <c r="J68" s="255"/>
      <c r="K68" s="220"/>
    </row>
    <row r="69" spans="1:11" s="84" customFormat="1" ht="9.75" customHeight="1">
      <c r="A69" s="79"/>
      <c r="B69" s="272" t="s">
        <v>416</v>
      </c>
      <c r="C69" s="250" t="s">
        <v>33</v>
      </c>
      <c r="D69" s="251" t="s">
        <v>155</v>
      </c>
      <c r="E69" s="252"/>
      <c r="F69" s="253" t="s">
        <v>20</v>
      </c>
      <c r="G69" s="254">
        <f>'09'!I59-'09'!G59</f>
        <v>42.34</v>
      </c>
      <c r="H69" s="254"/>
      <c r="I69" s="254"/>
      <c r="J69" s="255"/>
      <c r="K69" s="220"/>
    </row>
    <row r="70" spans="1:11" s="84" customFormat="1" ht="9.75" customHeight="1">
      <c r="A70" s="79"/>
      <c r="B70" s="272" t="s">
        <v>417</v>
      </c>
      <c r="C70" s="250" t="s">
        <v>33</v>
      </c>
      <c r="D70" s="251" t="s">
        <v>157</v>
      </c>
      <c r="E70" s="252"/>
      <c r="F70" s="253" t="s">
        <v>20</v>
      </c>
      <c r="G70" s="254">
        <f>'09'!K59</f>
        <v>548.25</v>
      </c>
      <c r="H70" s="254"/>
      <c r="I70" s="254"/>
      <c r="J70" s="255"/>
      <c r="K70" s="220"/>
    </row>
    <row r="71" spans="1:11" s="84" customFormat="1" ht="3.75" customHeight="1">
      <c r="A71" s="79"/>
      <c r="B71" s="249"/>
      <c r="C71" s="249"/>
      <c r="D71" s="249"/>
      <c r="E71" s="249"/>
      <c r="F71" s="253"/>
      <c r="G71" s="249"/>
      <c r="H71" s="256"/>
      <c r="I71" s="256"/>
      <c r="J71" s="255"/>
      <c r="K71" s="220"/>
    </row>
    <row r="72" spans="1:11" s="84" customFormat="1" ht="12.75" customHeight="1">
      <c r="A72" s="79"/>
      <c r="B72" s="370" t="s">
        <v>418</v>
      </c>
      <c r="C72" s="258" t="s">
        <v>33</v>
      </c>
      <c r="D72" s="257" t="s">
        <v>159</v>
      </c>
      <c r="E72" s="257"/>
      <c r="F72" s="259"/>
      <c r="G72" s="260"/>
      <c r="H72" s="261" t="s">
        <v>20</v>
      </c>
      <c r="I72" s="262">
        <f>SUM(G68:G71)</f>
        <v>2113.29</v>
      </c>
      <c r="J72" s="255"/>
      <c r="K72" s="220"/>
    </row>
    <row r="73" spans="1:11" s="84" customFormat="1" ht="12.75" customHeight="1">
      <c r="A73" s="79"/>
      <c r="B73" s="272"/>
      <c r="C73" s="250"/>
      <c r="D73" s="249"/>
      <c r="E73" s="249"/>
      <c r="F73" s="253"/>
      <c r="G73" s="261"/>
      <c r="H73" s="261"/>
      <c r="I73" s="262"/>
      <c r="J73" s="255"/>
      <c r="K73" s="220"/>
    </row>
    <row r="74" spans="1:11" s="84" customFormat="1" ht="11.25" customHeight="1">
      <c r="A74" s="79"/>
      <c r="B74" s="249"/>
      <c r="C74" s="249"/>
      <c r="D74" s="248" t="s">
        <v>405</v>
      </c>
      <c r="E74" s="249"/>
      <c r="F74" s="253"/>
      <c r="G74" s="249"/>
      <c r="H74" s="249"/>
      <c r="I74" s="249"/>
      <c r="J74" s="255"/>
      <c r="K74" s="220"/>
    </row>
    <row r="75" spans="1:11" s="84" customFormat="1" ht="9.75" customHeight="1">
      <c r="A75" s="79"/>
      <c r="B75" s="272" t="s">
        <v>419</v>
      </c>
      <c r="C75" s="250" t="s">
        <v>33</v>
      </c>
      <c r="D75" s="251" t="s">
        <v>153</v>
      </c>
      <c r="E75" s="252"/>
      <c r="F75" s="253" t="s">
        <v>20</v>
      </c>
      <c r="G75" s="254">
        <f>'10'!F59</f>
        <v>2667.32</v>
      </c>
      <c r="H75" s="254"/>
      <c r="I75" s="254"/>
      <c r="J75" s="255"/>
      <c r="K75" s="220"/>
    </row>
    <row r="76" spans="1:11" s="84" customFormat="1" ht="9.75" customHeight="1">
      <c r="A76" s="79"/>
      <c r="B76" s="272" t="s">
        <v>420</v>
      </c>
      <c r="C76" s="250" t="s">
        <v>33</v>
      </c>
      <c r="D76" s="251" t="s">
        <v>155</v>
      </c>
      <c r="E76" s="252"/>
      <c r="F76" s="253" t="s">
        <v>20</v>
      </c>
      <c r="G76" s="254">
        <f>'10'!H59-'10'!F59</f>
        <v>80.39</v>
      </c>
      <c r="H76" s="254"/>
      <c r="I76" s="254"/>
      <c r="J76" s="255"/>
      <c r="K76" s="220"/>
    </row>
    <row r="77" spans="1:11" s="84" customFormat="1" ht="9.75" customHeight="1">
      <c r="A77" s="79"/>
      <c r="B77" s="272" t="s">
        <v>421</v>
      </c>
      <c r="C77" s="250" t="s">
        <v>33</v>
      </c>
      <c r="D77" s="251" t="s">
        <v>157</v>
      </c>
      <c r="E77" s="252"/>
      <c r="F77" s="253" t="s">
        <v>20</v>
      </c>
      <c r="G77" s="254">
        <f>'10'!J59</f>
        <v>962.54</v>
      </c>
      <c r="H77" s="254"/>
      <c r="I77" s="254"/>
      <c r="J77" s="255"/>
      <c r="K77" s="220"/>
    </row>
    <row r="78" spans="1:11" s="84" customFormat="1" ht="3.75" customHeight="1">
      <c r="A78" s="79"/>
      <c r="B78" s="249"/>
      <c r="C78" s="249"/>
      <c r="D78" s="249"/>
      <c r="E78" s="249"/>
      <c r="F78" s="253"/>
      <c r="G78" s="249"/>
      <c r="H78" s="256"/>
      <c r="I78" s="256"/>
      <c r="J78" s="255"/>
      <c r="K78" s="220"/>
    </row>
    <row r="79" spans="1:13" s="84" customFormat="1" ht="12.75" customHeight="1">
      <c r="A79" s="79"/>
      <c r="B79" s="370" t="s">
        <v>422</v>
      </c>
      <c r="C79" s="258" t="s">
        <v>33</v>
      </c>
      <c r="D79" s="257" t="s">
        <v>159</v>
      </c>
      <c r="E79" s="257"/>
      <c r="F79" s="259"/>
      <c r="G79" s="260"/>
      <c r="H79" s="261" t="s">
        <v>20</v>
      </c>
      <c r="I79" s="262">
        <f>SUM(G75:G78)</f>
        <v>3710.25</v>
      </c>
      <c r="J79" s="255"/>
      <c r="K79" s="220"/>
      <c r="L79" s="609"/>
      <c r="M79" s="609"/>
    </row>
    <row r="80" spans="1:11" s="84" customFormat="1" ht="12.75" customHeight="1">
      <c r="A80" s="79"/>
      <c r="B80" s="272"/>
      <c r="C80" s="250"/>
      <c r="D80" s="249"/>
      <c r="E80" s="249"/>
      <c r="F80" s="253"/>
      <c r="G80" s="261"/>
      <c r="H80" s="261"/>
      <c r="I80" s="262"/>
      <c r="J80" s="255"/>
      <c r="K80" s="220"/>
    </row>
    <row r="81" spans="1:11" s="84" customFormat="1" ht="11.25" customHeight="1">
      <c r="A81" s="79"/>
      <c r="B81" s="249"/>
      <c r="C81" s="249"/>
      <c r="D81" s="248" t="s">
        <v>406</v>
      </c>
      <c r="E81" s="249"/>
      <c r="F81" s="253"/>
      <c r="G81" s="249"/>
      <c r="H81" s="249"/>
      <c r="I81" s="249"/>
      <c r="J81" s="255"/>
      <c r="K81" s="220"/>
    </row>
    <row r="82" spans="1:11" s="84" customFormat="1" ht="9.75" customHeight="1">
      <c r="A82" s="79"/>
      <c r="B82" s="272" t="s">
        <v>423</v>
      </c>
      <c r="C82" s="250" t="s">
        <v>33</v>
      </c>
      <c r="D82" s="251" t="s">
        <v>153</v>
      </c>
      <c r="E82" s="252"/>
      <c r="F82" s="253" t="s">
        <v>20</v>
      </c>
      <c r="G82" s="254">
        <f>'11'!K117</f>
        <v>-2430.83</v>
      </c>
      <c r="H82" s="254"/>
      <c r="I82" s="254"/>
      <c r="J82" s="255"/>
      <c r="K82" s="220"/>
    </row>
    <row r="83" spans="1:11" s="84" customFormat="1" ht="9.75" customHeight="1">
      <c r="A83" s="79"/>
      <c r="B83" s="272" t="s">
        <v>424</v>
      </c>
      <c r="C83" s="250" t="s">
        <v>33</v>
      </c>
      <c r="D83" s="251" t="s">
        <v>155</v>
      </c>
      <c r="E83" s="252"/>
      <c r="F83" s="253" t="s">
        <v>20</v>
      </c>
      <c r="G83" s="254">
        <f>'11'!M117-'11'!K117</f>
        <v>-70.64</v>
      </c>
      <c r="H83" s="254"/>
      <c r="I83" s="254"/>
      <c r="J83" s="255"/>
      <c r="K83" s="220"/>
    </row>
    <row r="84" spans="1:11" s="84" customFormat="1" ht="9.75" customHeight="1">
      <c r="A84" s="79"/>
      <c r="B84" s="272" t="s">
        <v>425</v>
      </c>
      <c r="C84" s="250" t="s">
        <v>33</v>
      </c>
      <c r="D84" s="251" t="s">
        <v>157</v>
      </c>
      <c r="E84" s="252"/>
      <c r="F84" s="253" t="s">
        <v>20</v>
      </c>
      <c r="G84" s="254">
        <f>'11'!O117</f>
        <v>-876.26</v>
      </c>
      <c r="H84" s="254"/>
      <c r="I84" s="254"/>
      <c r="J84" s="255"/>
      <c r="K84" s="220"/>
    </row>
    <row r="85" spans="1:11" s="84" customFormat="1" ht="3.75" customHeight="1">
      <c r="A85" s="79"/>
      <c r="B85" s="249"/>
      <c r="C85" s="249"/>
      <c r="D85" s="249"/>
      <c r="E85" s="249"/>
      <c r="F85" s="253"/>
      <c r="G85" s="249"/>
      <c r="H85" s="256"/>
      <c r="I85" s="256"/>
      <c r="J85" s="255"/>
      <c r="K85" s="220"/>
    </row>
    <row r="86" spans="1:11" s="84" customFormat="1" ht="12.75" customHeight="1">
      <c r="A86" s="79"/>
      <c r="B86" s="370" t="s">
        <v>426</v>
      </c>
      <c r="C86" s="258" t="s">
        <v>33</v>
      </c>
      <c r="D86" s="257" t="s">
        <v>159</v>
      </c>
      <c r="E86" s="257"/>
      <c r="F86" s="259"/>
      <c r="G86" s="260"/>
      <c r="H86" s="261" t="s">
        <v>20</v>
      </c>
      <c r="I86" s="262">
        <f>SUM(G82:G85)</f>
        <v>-3377.73</v>
      </c>
      <c r="J86" s="255"/>
      <c r="K86" s="220"/>
    </row>
    <row r="87" spans="1:11" s="84" customFormat="1" ht="12.75" customHeight="1">
      <c r="A87" s="79"/>
      <c r="B87" s="272"/>
      <c r="C87" s="250"/>
      <c r="D87" s="249"/>
      <c r="E87" s="249"/>
      <c r="F87" s="253"/>
      <c r="G87" s="261"/>
      <c r="H87" s="261"/>
      <c r="I87" s="262"/>
      <c r="J87" s="255"/>
      <c r="K87" s="220"/>
    </row>
    <row r="88" spans="1:11" s="268" customFormat="1" ht="14.25" customHeight="1">
      <c r="A88" s="264"/>
      <c r="B88" s="174" t="s">
        <v>427</v>
      </c>
      <c r="C88" s="265" t="s">
        <v>33</v>
      </c>
      <c r="D88" s="174" t="s">
        <v>169</v>
      </c>
      <c r="E88" s="248"/>
      <c r="F88" s="266"/>
      <c r="G88" s="248"/>
      <c r="H88" s="248" t="s">
        <v>20</v>
      </c>
      <c r="I88" s="262">
        <f>SUM(I18:I86)</f>
        <v>30816.16</v>
      </c>
      <c r="J88" s="267"/>
      <c r="K88" s="10"/>
    </row>
    <row r="89" spans="1:11" ht="10.5">
      <c r="A89" s="35"/>
      <c r="B89" s="249"/>
      <c r="C89" s="249"/>
      <c r="D89" s="269" t="s">
        <v>430</v>
      </c>
      <c r="E89" s="249"/>
      <c r="F89" s="253"/>
      <c r="G89" s="263"/>
      <c r="H89" s="253" t="s">
        <v>20</v>
      </c>
      <c r="I89" s="263">
        <f>'14'!G58</f>
        <v>723.87</v>
      </c>
      <c r="J89" s="255"/>
      <c r="K89" s="220"/>
    </row>
    <row r="90" spans="1:11" ht="10.5">
      <c r="A90" s="35"/>
      <c r="B90" s="249"/>
      <c r="C90" s="249"/>
      <c r="D90" s="269" t="s">
        <v>431</v>
      </c>
      <c r="E90" s="249"/>
      <c r="F90" s="253"/>
      <c r="G90" s="263"/>
      <c r="H90" s="253" t="str">
        <f>H92</f>
        <v>$</v>
      </c>
      <c r="I90" s="263">
        <v>0</v>
      </c>
      <c r="J90" s="255"/>
      <c r="K90" s="220"/>
    </row>
    <row r="91" spans="1:11" ht="7.5" customHeight="1">
      <c r="A91" s="35"/>
      <c r="B91" s="249"/>
      <c r="C91" s="249"/>
      <c r="D91" s="270"/>
      <c r="E91" s="256"/>
      <c r="F91" s="271"/>
      <c r="G91" s="256"/>
      <c r="H91" s="271"/>
      <c r="I91" s="256"/>
      <c r="J91" s="255"/>
      <c r="K91" s="220"/>
    </row>
    <row r="92" spans="1:10" s="219" customFormat="1" ht="16.5" customHeight="1">
      <c r="A92" s="371"/>
      <c r="B92" s="372"/>
      <c r="C92" s="372"/>
      <c r="D92" s="372" t="s">
        <v>428</v>
      </c>
      <c r="E92" s="373">
        <v>42005</v>
      </c>
      <c r="F92" s="374" t="s">
        <v>170</v>
      </c>
      <c r="G92" s="375"/>
      <c r="H92" s="376" t="s">
        <v>20</v>
      </c>
      <c r="I92" s="273">
        <f>I88-I89-I90</f>
        <v>30092.29</v>
      </c>
      <c r="J92" s="377"/>
    </row>
    <row r="93" spans="1:11" ht="20.25" customHeight="1">
      <c r="A93" s="35"/>
      <c r="B93" s="249"/>
      <c r="C93" s="249"/>
      <c r="D93" s="249"/>
      <c r="E93" s="44"/>
      <c r="F93" s="253"/>
      <c r="G93" s="45"/>
      <c r="H93" s="253"/>
      <c r="I93" s="45"/>
      <c r="J93" s="255"/>
      <c r="K93" s="220"/>
    </row>
    <row r="94" spans="1:10" s="84" customFormat="1" ht="11.25" customHeight="1">
      <c r="A94" s="79"/>
      <c r="B94" s="80" t="s">
        <v>429</v>
      </c>
      <c r="C94" s="274"/>
      <c r="E94" s="80"/>
      <c r="F94" s="81"/>
      <c r="G94" s="82"/>
      <c r="H94" s="82"/>
      <c r="I94" s="82"/>
      <c r="J94" s="83"/>
    </row>
    <row r="95" spans="1:10" s="84" customFormat="1" ht="11.25" customHeight="1">
      <c r="A95" s="79"/>
      <c r="B95" s="274"/>
      <c r="C95" s="274"/>
      <c r="D95" s="80" t="s">
        <v>432</v>
      </c>
      <c r="E95" s="85">
        <f>'14'!H58</f>
        <v>11336.38</v>
      </c>
      <c r="F95" s="81"/>
      <c r="G95" s="82"/>
      <c r="H95" s="82"/>
      <c r="I95" s="82"/>
      <c r="J95" s="83"/>
    </row>
    <row r="96" spans="1:10" s="84" customFormat="1" ht="6" customHeight="1">
      <c r="A96" s="79"/>
      <c r="B96" s="274"/>
      <c r="C96" s="274"/>
      <c r="D96" s="86"/>
      <c r="E96" s="87"/>
      <c r="F96" s="81"/>
      <c r="G96" s="82"/>
      <c r="H96" s="82"/>
      <c r="I96" s="82"/>
      <c r="J96" s="83"/>
    </row>
    <row r="97" spans="1:10" s="84" customFormat="1" ht="11.25" customHeight="1">
      <c r="A97" s="79"/>
      <c r="B97" s="274"/>
      <c r="C97" s="274"/>
      <c r="D97" s="80" t="s">
        <v>86</v>
      </c>
      <c r="E97" s="88">
        <v>0</v>
      </c>
      <c r="F97" s="81"/>
      <c r="G97" s="82"/>
      <c r="H97" s="82"/>
      <c r="I97" s="82"/>
      <c r="J97" s="83"/>
    </row>
    <row r="98" spans="1:10" s="84" customFormat="1" ht="11.25" customHeight="1">
      <c r="A98" s="79"/>
      <c r="B98" s="274"/>
      <c r="C98" s="274"/>
      <c r="D98" s="80" t="s">
        <v>81</v>
      </c>
      <c r="E98" s="88">
        <f>E95*20%</f>
        <v>2267.28</v>
      </c>
      <c r="F98" s="81"/>
      <c r="G98" s="82"/>
      <c r="H98" s="82"/>
      <c r="I98" s="82"/>
      <c r="J98" s="83"/>
    </row>
    <row r="99" spans="1:10" s="84" customFormat="1" ht="11.25" customHeight="1">
      <c r="A99" s="79"/>
      <c r="B99" s="274"/>
      <c r="C99" s="274"/>
      <c r="D99" s="80" t="s">
        <v>84</v>
      </c>
      <c r="E99" s="88">
        <f>E95*3%</f>
        <v>340.09</v>
      </c>
      <c r="F99" s="81"/>
      <c r="G99" s="82"/>
      <c r="H99" s="82"/>
      <c r="I99" s="82"/>
      <c r="J99" s="83"/>
    </row>
    <row r="100" spans="1:10" s="84" customFormat="1" ht="11.25" customHeight="1">
      <c r="A100" s="79"/>
      <c r="B100" s="274"/>
      <c r="C100" s="274"/>
      <c r="D100" s="80" t="s">
        <v>82</v>
      </c>
      <c r="E100" s="89">
        <v>0</v>
      </c>
      <c r="F100" s="81"/>
      <c r="G100" s="82"/>
      <c r="H100" s="82"/>
      <c r="I100" s="82"/>
      <c r="J100" s="83"/>
    </row>
    <row r="101" spans="1:10" s="84" customFormat="1" ht="11.25" customHeight="1">
      <c r="A101" s="79"/>
      <c r="B101" s="274"/>
      <c r="C101" s="274"/>
      <c r="D101" s="80" t="s">
        <v>83</v>
      </c>
      <c r="E101" s="90">
        <f>SUM(E97:E100)</f>
        <v>2607.37</v>
      </c>
      <c r="F101" s="81"/>
      <c r="G101" s="82"/>
      <c r="H101" s="82"/>
      <c r="I101" s="82"/>
      <c r="J101" s="83"/>
    </row>
    <row r="102" spans="1:10" ht="14.25" customHeight="1">
      <c r="A102" s="46"/>
      <c r="B102" s="42"/>
      <c r="C102" s="42"/>
      <c r="D102" s="42"/>
      <c r="E102" s="42"/>
      <c r="F102" s="43"/>
      <c r="G102" s="47"/>
      <c r="H102" s="47"/>
      <c r="I102" s="47"/>
      <c r="J102" s="48"/>
    </row>
    <row r="103" spans="6:9" ht="8.25" customHeight="1">
      <c r="F103" s="22"/>
      <c r="G103" s="49"/>
      <c r="H103" s="49"/>
      <c r="I103" s="49"/>
    </row>
    <row r="104" spans="5:7" ht="11.25">
      <c r="E104" s="275"/>
      <c r="F104" s="276"/>
      <c r="G104" s="276"/>
    </row>
    <row r="105" spans="4:9" ht="10.5">
      <c r="D105" s="21"/>
      <c r="E105" s="132"/>
      <c r="F105" s="132" t="s">
        <v>457</v>
      </c>
      <c r="G105" s="277"/>
      <c r="H105" s="278"/>
      <c r="I105" s="278"/>
    </row>
    <row r="106" spans="4:9" ht="12.75">
      <c r="D106" s="50"/>
      <c r="E106" s="613" t="s">
        <v>458</v>
      </c>
      <c r="F106" s="132"/>
      <c r="G106" s="277"/>
      <c r="H106" s="74"/>
      <c r="I106" s="74"/>
    </row>
    <row r="107" spans="4:9" ht="10.5">
      <c r="D107" s="30"/>
      <c r="E107" s="277"/>
      <c r="F107" s="277"/>
      <c r="G107" s="277"/>
      <c r="H107" s="74"/>
      <c r="I107" s="74"/>
    </row>
    <row r="108" spans="4:6" ht="10.5">
      <c r="D108" s="30"/>
      <c r="E108" s="277"/>
      <c r="F108" s="22"/>
    </row>
    <row r="109" spans="6:9" ht="10.5">
      <c r="F109" s="22"/>
      <c r="G109" s="13"/>
      <c r="H109" s="13"/>
      <c r="I109" s="13"/>
    </row>
    <row r="110" spans="5:9" ht="10.5">
      <c r="E110" s="29"/>
      <c r="F110" s="22"/>
      <c r="G110" s="13"/>
      <c r="H110" s="13"/>
      <c r="I110" s="13"/>
    </row>
    <row r="111" spans="7:9" ht="10.5">
      <c r="G111" s="13"/>
      <c r="H111" s="13"/>
      <c r="I111" s="13"/>
    </row>
    <row r="116" ht="13.5" customHeight="1"/>
  </sheetData>
  <sheetProtection/>
  <mergeCells count="2">
    <mergeCell ref="A5:J5"/>
    <mergeCell ref="A4:J4"/>
  </mergeCells>
  <printOptions/>
  <pageMargins left="0.9055118110236221" right="0.7086614173228347" top="0.7086614173228347" bottom="0.984251968503937" header="0.31496062992125984" footer="0.31496062992125984"/>
  <pageSetup horizontalDpi="600" verticalDpi="600" orientation="portrait" paperSize="9" r:id="rId1"/>
  <headerFooter>
    <oddHeader>&amp;R
Anexo: 16
Folha : 0&amp;P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57"/>
  <sheetViews>
    <sheetView zoomScalePageLayoutView="0" workbookViewId="0" topLeftCell="A1">
      <selection activeCell="F27" sqref="F27"/>
    </sheetView>
  </sheetViews>
  <sheetFormatPr defaultColWidth="9.83203125" defaultRowHeight="11.25" customHeight="1"/>
  <cols>
    <col min="1" max="1" width="16.5" style="132" customWidth="1"/>
    <col min="2" max="2" width="15.33203125" style="132" customWidth="1"/>
    <col min="3" max="3" width="20.83203125" style="289" customWidth="1"/>
    <col min="4" max="4" width="23.5" style="107" customWidth="1"/>
    <col min="5" max="6" width="9.83203125" style="176" customWidth="1"/>
    <col min="7" max="7" width="12.5" style="176" customWidth="1"/>
    <col min="8" max="16384" width="9.83203125" style="176" customWidth="1"/>
  </cols>
  <sheetData>
    <row r="1" spans="1:4" s="611" customFormat="1" ht="14.25" customHeight="1">
      <c r="A1" s="610" t="s">
        <v>456</v>
      </c>
      <c r="B1" s="610"/>
      <c r="C1" s="610"/>
      <c r="D1" s="610"/>
    </row>
    <row r="2" spans="1:4" s="107" customFormat="1" ht="10.5" customHeight="1">
      <c r="A2" s="132"/>
      <c r="B2" s="612"/>
      <c r="C2" s="132"/>
      <c r="D2" s="132"/>
    </row>
    <row r="3" spans="1:4" s="107" customFormat="1" ht="10.5" customHeight="1">
      <c r="A3" s="132"/>
      <c r="B3" s="612"/>
      <c r="C3" s="132"/>
      <c r="D3" s="132"/>
    </row>
    <row r="4" spans="1:3" ht="11.25" customHeight="1">
      <c r="A4" s="175" t="s">
        <v>187</v>
      </c>
      <c r="B4" s="53"/>
      <c r="C4" s="288"/>
    </row>
    <row r="5" spans="1:4" s="293" customFormat="1" ht="11.25" customHeight="1">
      <c r="A5" s="290" t="s">
        <v>199</v>
      </c>
      <c r="B5" s="290"/>
      <c r="C5" s="291"/>
      <c r="D5" s="292"/>
    </row>
    <row r="6" spans="1:3" ht="11.25" customHeight="1">
      <c r="A6" s="53"/>
      <c r="B6" s="53"/>
      <c r="C6" s="288"/>
    </row>
    <row r="7" spans="1:3" ht="11.25" customHeight="1">
      <c r="A7" s="175" t="s">
        <v>451</v>
      </c>
      <c r="B7" s="53"/>
      <c r="C7" s="288"/>
    </row>
    <row r="8" spans="1:3" ht="11.25" customHeight="1">
      <c r="A8" s="173" t="s">
        <v>453</v>
      </c>
      <c r="B8" s="16"/>
      <c r="C8" s="294"/>
    </row>
    <row r="9" spans="1:3" ht="11.25" customHeight="1">
      <c r="A9" s="173" t="s">
        <v>454</v>
      </c>
      <c r="B9" s="16"/>
      <c r="C9" s="294"/>
    </row>
    <row r="10" spans="1:3" ht="11.25" customHeight="1">
      <c r="A10" s="173" t="s">
        <v>452</v>
      </c>
      <c r="B10" s="16"/>
      <c r="C10" s="294"/>
    </row>
    <row r="11" spans="1:3" ht="11.25" customHeight="1">
      <c r="A11" s="175" t="s">
        <v>455</v>
      </c>
      <c r="B11" s="53"/>
      <c r="C11" s="288"/>
    </row>
    <row r="12" spans="1:3" ht="11.25" customHeight="1">
      <c r="A12" s="173" t="s">
        <v>235</v>
      </c>
      <c r="B12" s="16"/>
      <c r="C12" s="294"/>
    </row>
    <row r="13" spans="1:3" ht="11.25" customHeight="1">
      <c r="A13" s="173" t="s">
        <v>236</v>
      </c>
      <c r="B13" s="16"/>
      <c r="C13" s="294"/>
    </row>
    <row r="14" spans="1:3" ht="15" customHeight="1" thickBot="1">
      <c r="A14" s="16"/>
      <c r="B14" s="16"/>
      <c r="C14" s="294"/>
    </row>
    <row r="15" spans="1:4" s="293" customFormat="1" ht="12.75" customHeight="1" thickBot="1" thickTop="1">
      <c r="A15" s="295" t="s">
        <v>3</v>
      </c>
      <c r="B15" s="113" t="s">
        <v>4</v>
      </c>
      <c r="C15" s="113" t="s">
        <v>5</v>
      </c>
      <c r="D15" s="113" t="s">
        <v>6</v>
      </c>
    </row>
    <row r="16" ht="11.25" customHeight="1" thickBot="1" thickTop="1"/>
    <row r="17" spans="1:4" s="299" customFormat="1" ht="11.25" customHeight="1" thickTop="1">
      <c r="A17" s="296" t="s">
        <v>1</v>
      </c>
      <c r="B17" s="136" t="s">
        <v>37</v>
      </c>
      <c r="C17" s="297" t="s">
        <v>111</v>
      </c>
      <c r="D17" s="298" t="s">
        <v>188</v>
      </c>
    </row>
    <row r="18" spans="1:4" s="299" customFormat="1" ht="11.25" customHeight="1">
      <c r="A18" s="300"/>
      <c r="B18" s="301" t="s">
        <v>114</v>
      </c>
      <c r="C18" s="301" t="s">
        <v>115</v>
      </c>
      <c r="D18" s="302" t="s">
        <v>189</v>
      </c>
    </row>
    <row r="19" spans="1:4" s="299" customFormat="1" ht="11.25" customHeight="1">
      <c r="A19" s="300"/>
      <c r="B19" s="301"/>
      <c r="C19" s="301" t="s">
        <v>117</v>
      </c>
      <c r="D19" s="302" t="s">
        <v>37</v>
      </c>
    </row>
    <row r="20" spans="1:4" s="299" customFormat="1" ht="12.75" customHeight="1" thickBot="1">
      <c r="A20" s="303"/>
      <c r="B20" s="311"/>
      <c r="C20" s="311" t="s">
        <v>119</v>
      </c>
      <c r="D20" s="614" t="s">
        <v>98</v>
      </c>
    </row>
    <row r="21" spans="1:4" s="299" customFormat="1" ht="11.25" customHeight="1" thickTop="1">
      <c r="A21" s="140"/>
      <c r="B21" s="304"/>
      <c r="C21" s="129"/>
      <c r="D21" s="130"/>
    </row>
    <row r="22" spans="1:4" ht="11.25" customHeight="1">
      <c r="A22" s="305">
        <v>39814</v>
      </c>
      <c r="B22" s="170">
        <v>7.21</v>
      </c>
      <c r="C22" s="306">
        <v>220</v>
      </c>
      <c r="D22" s="69">
        <f aca="true" t="shared" si="0" ref="D22:D31">B22*C22</f>
        <v>1586.2</v>
      </c>
    </row>
    <row r="23" spans="1:4" ht="11.25" customHeight="1">
      <c r="A23" s="305">
        <v>39845</v>
      </c>
      <c r="B23" s="329">
        <v>7.21</v>
      </c>
      <c r="C23" s="306">
        <v>220</v>
      </c>
      <c r="D23" s="69">
        <f t="shared" si="0"/>
        <v>1586.2</v>
      </c>
    </row>
    <row r="24" spans="1:4" ht="11.25" customHeight="1">
      <c r="A24" s="305">
        <v>39873</v>
      </c>
      <c r="B24" s="329">
        <v>7.21</v>
      </c>
      <c r="C24" s="306">
        <v>220</v>
      </c>
      <c r="D24" s="69">
        <f t="shared" si="0"/>
        <v>1586.2</v>
      </c>
    </row>
    <row r="25" spans="1:4" ht="11.25" customHeight="1">
      <c r="A25" s="305">
        <v>39904</v>
      </c>
      <c r="B25" s="329">
        <v>7.21</v>
      </c>
      <c r="C25" s="306">
        <v>220</v>
      </c>
      <c r="D25" s="69">
        <f t="shared" si="0"/>
        <v>1586.2</v>
      </c>
    </row>
    <row r="26" spans="1:4" ht="11.25" customHeight="1">
      <c r="A26" s="305">
        <v>39934</v>
      </c>
      <c r="B26" s="170">
        <v>7.7</v>
      </c>
      <c r="C26" s="306">
        <v>220</v>
      </c>
      <c r="D26" s="69">
        <f t="shared" si="0"/>
        <v>1694</v>
      </c>
    </row>
    <row r="27" spans="1:4" ht="11.25" customHeight="1">
      <c r="A27" s="305">
        <v>39965</v>
      </c>
      <c r="B27" s="329">
        <v>7.7</v>
      </c>
      <c r="C27" s="306">
        <v>220</v>
      </c>
      <c r="D27" s="69">
        <f t="shared" si="0"/>
        <v>1694</v>
      </c>
    </row>
    <row r="28" spans="1:4" ht="11.25" customHeight="1">
      <c r="A28" s="305">
        <v>39995</v>
      </c>
      <c r="B28" s="329">
        <v>7.7</v>
      </c>
      <c r="C28" s="306">
        <v>220</v>
      </c>
      <c r="D28" s="69">
        <f t="shared" si="0"/>
        <v>1694</v>
      </c>
    </row>
    <row r="29" spans="1:4" ht="11.25" customHeight="1">
      <c r="A29" s="305">
        <v>40026</v>
      </c>
      <c r="B29" s="329">
        <v>7.7</v>
      </c>
      <c r="C29" s="306">
        <v>220</v>
      </c>
      <c r="D29" s="69">
        <f t="shared" si="0"/>
        <v>1694</v>
      </c>
    </row>
    <row r="30" spans="1:4" ht="11.25" customHeight="1">
      <c r="A30" s="305">
        <v>40057</v>
      </c>
      <c r="B30" s="329">
        <v>7.7</v>
      </c>
      <c r="C30" s="306">
        <v>220</v>
      </c>
      <c r="D30" s="69">
        <f t="shared" si="0"/>
        <v>1694</v>
      </c>
    </row>
    <row r="31" spans="1:4" ht="11.25" customHeight="1">
      <c r="A31" s="305">
        <v>40087</v>
      </c>
      <c r="B31" s="329">
        <v>7.7</v>
      </c>
      <c r="C31" s="306">
        <v>220</v>
      </c>
      <c r="D31" s="69">
        <f t="shared" si="0"/>
        <v>1694</v>
      </c>
    </row>
    <row r="32" spans="1:4" ht="11.25" customHeight="1">
      <c r="A32" s="305">
        <v>40118</v>
      </c>
      <c r="B32" s="329">
        <v>7.7</v>
      </c>
      <c r="C32" s="306">
        <v>220</v>
      </c>
      <c r="D32" s="69">
        <f>B32*C32</f>
        <v>1694</v>
      </c>
    </row>
    <row r="33" spans="1:4" ht="11.25" customHeight="1">
      <c r="A33" s="305">
        <v>40148</v>
      </c>
      <c r="B33" s="329">
        <v>7.7</v>
      </c>
      <c r="C33" s="306">
        <v>220</v>
      </c>
      <c r="D33" s="69">
        <f aca="true" t="shared" si="1" ref="D33:D43">B33*C33</f>
        <v>1694</v>
      </c>
    </row>
    <row r="34" spans="1:4" ht="11.25" customHeight="1">
      <c r="A34" s="305">
        <v>40179</v>
      </c>
      <c r="B34" s="329">
        <v>7.7</v>
      </c>
      <c r="C34" s="306">
        <v>220</v>
      </c>
      <c r="D34" s="69">
        <f t="shared" si="1"/>
        <v>1694</v>
      </c>
    </row>
    <row r="35" spans="1:4" ht="11.25" customHeight="1">
      <c r="A35" s="305">
        <v>40210</v>
      </c>
      <c r="B35" s="329">
        <v>7.7</v>
      </c>
      <c r="C35" s="306">
        <v>220</v>
      </c>
      <c r="D35" s="69">
        <f t="shared" si="1"/>
        <v>1694</v>
      </c>
    </row>
    <row r="36" spans="1:4" ht="11.25" customHeight="1">
      <c r="A36" s="305">
        <v>40238</v>
      </c>
      <c r="B36" s="329">
        <v>7.7</v>
      </c>
      <c r="C36" s="306">
        <v>220</v>
      </c>
      <c r="D36" s="69">
        <f t="shared" si="1"/>
        <v>1694</v>
      </c>
    </row>
    <row r="37" spans="1:4" ht="11.25" customHeight="1">
      <c r="A37" s="305">
        <v>40269</v>
      </c>
      <c r="B37" s="329">
        <v>7.7</v>
      </c>
      <c r="C37" s="306">
        <v>220</v>
      </c>
      <c r="D37" s="69">
        <f t="shared" si="1"/>
        <v>1694</v>
      </c>
    </row>
    <row r="38" spans="1:4" ht="11.25" customHeight="1">
      <c r="A38" s="305">
        <v>40299</v>
      </c>
      <c r="B38" s="329">
        <v>8.32</v>
      </c>
      <c r="C38" s="306">
        <v>220</v>
      </c>
      <c r="D38" s="69">
        <f t="shared" si="1"/>
        <v>1830.4</v>
      </c>
    </row>
    <row r="39" spans="1:4" ht="11.25" customHeight="1">
      <c r="A39" s="305">
        <v>40330</v>
      </c>
      <c r="B39" s="329">
        <v>8.32</v>
      </c>
      <c r="C39" s="306">
        <v>220</v>
      </c>
      <c r="D39" s="69">
        <f t="shared" si="1"/>
        <v>1830.4</v>
      </c>
    </row>
    <row r="40" spans="1:4" ht="11.25" customHeight="1">
      <c r="A40" s="305">
        <v>40360</v>
      </c>
      <c r="B40" s="329">
        <v>8.32</v>
      </c>
      <c r="C40" s="306">
        <v>220</v>
      </c>
      <c r="D40" s="69">
        <f t="shared" si="1"/>
        <v>1830.4</v>
      </c>
    </row>
    <row r="41" spans="1:4" ht="11.25" customHeight="1">
      <c r="A41" s="305">
        <v>40391</v>
      </c>
      <c r="B41" s="329">
        <v>8.32</v>
      </c>
      <c r="C41" s="306">
        <v>220</v>
      </c>
      <c r="D41" s="69">
        <f t="shared" si="1"/>
        <v>1830.4</v>
      </c>
    </row>
    <row r="42" spans="1:4" ht="11.25" customHeight="1">
      <c r="A42" s="305">
        <v>40422</v>
      </c>
      <c r="B42" s="329">
        <v>8.32</v>
      </c>
      <c r="C42" s="306">
        <v>220</v>
      </c>
      <c r="D42" s="69">
        <f t="shared" si="1"/>
        <v>1830.4</v>
      </c>
    </row>
    <row r="43" spans="1:4" ht="11.25" customHeight="1">
      <c r="A43" s="305">
        <v>40452</v>
      </c>
      <c r="B43" s="329">
        <v>8.32</v>
      </c>
      <c r="C43" s="306">
        <v>220</v>
      </c>
      <c r="D43" s="69">
        <f t="shared" si="1"/>
        <v>1830.4</v>
      </c>
    </row>
    <row r="44" spans="1:4" ht="11.25" customHeight="1">
      <c r="A44" s="305">
        <v>40483</v>
      </c>
      <c r="B44" s="329">
        <v>8.32</v>
      </c>
      <c r="C44" s="306">
        <v>220</v>
      </c>
      <c r="D44" s="69">
        <f>B44*C44</f>
        <v>1830.4</v>
      </c>
    </row>
    <row r="45" spans="1:4" ht="11.25" customHeight="1">
      <c r="A45" s="305">
        <v>40513</v>
      </c>
      <c r="B45" s="329">
        <v>8.32</v>
      </c>
      <c r="C45" s="306">
        <v>220</v>
      </c>
      <c r="D45" s="69">
        <f aca="true" t="shared" si="2" ref="D45:D53">B45*C45</f>
        <v>1830.4</v>
      </c>
    </row>
    <row r="46" spans="1:4" ht="11.25" customHeight="1">
      <c r="A46" s="305">
        <v>40544</v>
      </c>
      <c r="B46" s="329">
        <v>8.32</v>
      </c>
      <c r="C46" s="306">
        <v>220</v>
      </c>
      <c r="D46" s="69">
        <f t="shared" si="2"/>
        <v>1830.4</v>
      </c>
    </row>
    <row r="47" spans="1:4" ht="11.25" customHeight="1">
      <c r="A47" s="305">
        <v>40575</v>
      </c>
      <c r="B47" s="329">
        <v>8.32</v>
      </c>
      <c r="C47" s="306">
        <v>220</v>
      </c>
      <c r="D47" s="69">
        <f t="shared" si="2"/>
        <v>1830.4</v>
      </c>
    </row>
    <row r="48" spans="1:4" ht="11.25" customHeight="1">
      <c r="A48" s="305">
        <v>40603</v>
      </c>
      <c r="B48" s="329">
        <v>8.32</v>
      </c>
      <c r="C48" s="306">
        <v>220</v>
      </c>
      <c r="D48" s="69">
        <f t="shared" si="2"/>
        <v>1830.4</v>
      </c>
    </row>
    <row r="49" spans="1:4" ht="11.25" customHeight="1">
      <c r="A49" s="305">
        <v>40634</v>
      </c>
      <c r="B49" s="329">
        <v>8.32</v>
      </c>
      <c r="C49" s="306">
        <v>220</v>
      </c>
      <c r="D49" s="69">
        <f t="shared" si="2"/>
        <v>1830.4</v>
      </c>
    </row>
    <row r="50" spans="1:4" ht="11.25" customHeight="1">
      <c r="A50" s="305">
        <v>40664</v>
      </c>
      <c r="B50" s="69">
        <v>9.13</v>
      </c>
      <c r="C50" s="306">
        <v>220</v>
      </c>
      <c r="D50" s="69">
        <f t="shared" si="2"/>
        <v>2008.6</v>
      </c>
    </row>
    <row r="51" spans="1:4" ht="11.25" customHeight="1">
      <c r="A51" s="305">
        <v>40695</v>
      </c>
      <c r="B51" s="69">
        <v>9.13</v>
      </c>
      <c r="C51" s="306">
        <v>220</v>
      </c>
      <c r="D51" s="69">
        <f t="shared" si="2"/>
        <v>2008.6</v>
      </c>
    </row>
    <row r="52" spans="1:4" ht="11.25" customHeight="1">
      <c r="A52" s="305">
        <v>40725</v>
      </c>
      <c r="B52" s="69">
        <v>9.13</v>
      </c>
      <c r="C52" s="306">
        <v>220</v>
      </c>
      <c r="D52" s="69">
        <f t="shared" si="2"/>
        <v>2008.6</v>
      </c>
    </row>
    <row r="53" spans="1:4" ht="11.25" customHeight="1">
      <c r="A53" s="305">
        <v>40756</v>
      </c>
      <c r="B53" s="69">
        <v>9.13</v>
      </c>
      <c r="C53" s="306">
        <v>220</v>
      </c>
      <c r="D53" s="69">
        <f t="shared" si="2"/>
        <v>2008.6</v>
      </c>
    </row>
    <row r="56" spans="3:4" ht="11.25" customHeight="1">
      <c r="C56" s="132"/>
      <c r="D56" s="132" t="s">
        <v>457</v>
      </c>
    </row>
    <row r="57" spans="3:4" ht="11.25" customHeight="1">
      <c r="C57" s="613" t="s">
        <v>458</v>
      </c>
      <c r="D57" s="132"/>
    </row>
  </sheetData>
  <sheetProtection/>
  <hyperlinks>
    <hyperlink ref="C57" r:id="rId1" display="www.sentenca.com.br"/>
  </hyperlinks>
  <printOptions/>
  <pageMargins left="1.6929133858267718" right="0.7086614173228347" top="0.8661417322834646" bottom="0.7874015748031497" header="0.31496062992125984" footer="0.31496062992125984"/>
  <pageSetup horizontalDpi="600" verticalDpi="600" orientation="portrait" paperSize="9" r:id="rId2"/>
  <headerFooter>
    <oddHeader>&amp;R
Anexo: 01
Folha : 0&amp;P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233"/>
  <sheetViews>
    <sheetView tabSelected="1" zoomScalePageLayoutView="0" workbookViewId="0" topLeftCell="A1">
      <selection activeCell="N60" sqref="N60"/>
    </sheetView>
  </sheetViews>
  <sheetFormatPr defaultColWidth="9.33203125" defaultRowHeight="10.5"/>
  <cols>
    <col min="1" max="1" width="8" style="4" customWidth="1"/>
    <col min="2" max="3" width="10.66015625" style="4" customWidth="1"/>
    <col min="4" max="4" width="12.16015625" style="4" customWidth="1"/>
    <col min="5" max="5" width="6.33203125" style="4" customWidth="1"/>
    <col min="6" max="6" width="12.16015625" style="4" customWidth="1"/>
    <col min="7" max="7" width="11" style="388" customWidth="1"/>
    <col min="8" max="8" width="11.83203125" style="388" customWidth="1"/>
    <col min="9" max="9" width="12.16015625" style="388" customWidth="1"/>
    <col min="10" max="10" width="11.83203125" style="388" customWidth="1"/>
    <col min="11" max="11" width="11.66015625" style="388" customWidth="1"/>
    <col min="12" max="13" width="11.83203125" style="388" customWidth="1"/>
    <col min="14" max="14" width="12.16015625" style="4" customWidth="1"/>
    <col min="15" max="15" width="12.5" style="4" customWidth="1"/>
    <col min="16" max="16" width="13.33203125" style="4" customWidth="1"/>
    <col min="17" max="17" width="11.66015625" style="4" customWidth="1"/>
    <col min="18" max="18" width="15" style="4" customWidth="1"/>
    <col min="19" max="19" width="3.16015625" style="4" customWidth="1"/>
    <col min="20" max="20" width="14.83203125" style="4" customWidth="1"/>
    <col min="21" max="21" width="2.66015625" style="4" customWidth="1"/>
    <col min="22" max="23" width="12.16015625" style="388" customWidth="1"/>
    <col min="24" max="29" width="12.16015625" style="13" customWidth="1"/>
    <col min="30" max="16384" width="9.33203125" style="4" customWidth="1"/>
  </cols>
  <sheetData>
    <row r="1" spans="1:4" s="611" customFormat="1" ht="14.25" customHeight="1">
      <c r="A1" s="610" t="s">
        <v>459</v>
      </c>
      <c r="B1" s="610"/>
      <c r="C1" s="610"/>
      <c r="D1" s="610"/>
    </row>
    <row r="2" spans="1:4" s="107" customFormat="1" ht="10.5" customHeight="1">
      <c r="A2" s="132"/>
      <c r="B2" s="612"/>
      <c r="C2" s="132"/>
      <c r="D2" s="132"/>
    </row>
    <row r="3" spans="1:4" s="107" customFormat="1" ht="10.5" customHeight="1">
      <c r="A3" s="132"/>
      <c r="B3" s="612"/>
      <c r="C3" s="132"/>
      <c r="D3" s="132"/>
    </row>
    <row r="4" spans="1:23" ht="10.5">
      <c r="A4" s="3" t="s">
        <v>433</v>
      </c>
      <c r="G4" s="390"/>
      <c r="H4" s="390"/>
      <c r="I4" s="390"/>
      <c r="J4" s="390"/>
      <c r="K4" s="390"/>
      <c r="L4" s="390"/>
      <c r="M4" s="390"/>
      <c r="N4"/>
      <c r="O4"/>
      <c r="V4" s="390"/>
      <c r="W4" s="390"/>
    </row>
    <row r="5" spans="1:23" ht="10.5">
      <c r="A5" s="3"/>
      <c r="G5" s="390"/>
      <c r="H5" s="390"/>
      <c r="I5" s="390"/>
      <c r="J5" s="390"/>
      <c r="K5" s="390"/>
      <c r="L5" s="390"/>
      <c r="M5" s="390"/>
      <c r="N5"/>
      <c r="O5"/>
      <c r="V5" s="390"/>
      <c r="W5" s="390"/>
    </row>
    <row r="6" spans="1:4" s="176" customFormat="1" ht="11.25" customHeight="1">
      <c r="A6" s="175" t="s">
        <v>451</v>
      </c>
      <c r="B6" s="53"/>
      <c r="C6" s="288"/>
      <c r="D6" s="107"/>
    </row>
    <row r="7" spans="1:4" s="176" customFormat="1" ht="11.25" customHeight="1">
      <c r="A7" s="173" t="s">
        <v>453</v>
      </c>
      <c r="B7" s="16"/>
      <c r="C7" s="294"/>
      <c r="D7" s="107"/>
    </row>
    <row r="8" spans="1:4" s="176" customFormat="1" ht="11.25" customHeight="1">
      <c r="A8" s="173" t="s">
        <v>454</v>
      </c>
      <c r="B8" s="16"/>
      <c r="C8" s="294"/>
      <c r="D8" s="107"/>
    </row>
    <row r="9" spans="1:4" s="176" customFormat="1" ht="11.25" customHeight="1">
      <c r="A9" s="173" t="s">
        <v>452</v>
      </c>
      <c r="B9" s="16"/>
      <c r="C9" s="294"/>
      <c r="D9" s="107"/>
    </row>
    <row r="10" spans="1:4" s="176" customFormat="1" ht="11.25" customHeight="1">
      <c r="A10" s="175" t="s">
        <v>455</v>
      </c>
      <c r="B10" s="53"/>
      <c r="C10" s="288"/>
      <c r="D10" s="107"/>
    </row>
    <row r="11" spans="1:29" s="176" customFormat="1" ht="11.25" customHeight="1">
      <c r="A11" s="173" t="s">
        <v>460</v>
      </c>
      <c r="B11" s="16"/>
      <c r="C11" s="294"/>
      <c r="D11" s="107"/>
      <c r="X11" s="107"/>
      <c r="Y11" s="107"/>
      <c r="Z11" s="107"/>
      <c r="AA11" s="107"/>
      <c r="AB11" s="107"/>
      <c r="AC11" s="107"/>
    </row>
    <row r="12" spans="7:23" ht="15" customHeight="1" thickBot="1">
      <c r="G12" s="1"/>
      <c r="H12" s="1"/>
      <c r="I12" s="1"/>
      <c r="J12" s="1"/>
      <c r="K12" s="1"/>
      <c r="L12" s="1"/>
      <c r="M12" s="1"/>
      <c r="N12"/>
      <c r="O12"/>
      <c r="U12" s="13"/>
      <c r="V12" s="190"/>
      <c r="W12" s="190"/>
    </row>
    <row r="13" spans="1:29" ht="12" thickBot="1" thickTop="1">
      <c r="A13" s="11" t="s">
        <v>3</v>
      </c>
      <c r="B13" s="5" t="s">
        <v>4</v>
      </c>
      <c r="C13" s="393" t="s">
        <v>5</v>
      </c>
      <c r="D13" s="5" t="s">
        <v>6</v>
      </c>
      <c r="E13" s="393" t="s">
        <v>7</v>
      </c>
      <c r="F13" s="393" t="s">
        <v>8</v>
      </c>
      <c r="G13" s="393" t="s">
        <v>9</v>
      </c>
      <c r="H13" s="2" t="s">
        <v>10</v>
      </c>
      <c r="I13" s="2" t="s">
        <v>11</v>
      </c>
      <c r="J13" s="393" t="s">
        <v>80</v>
      </c>
      <c r="K13" s="2" t="s">
        <v>101</v>
      </c>
      <c r="L13" s="2" t="s">
        <v>109</v>
      </c>
      <c r="M13" s="2" t="s">
        <v>110</v>
      </c>
      <c r="N13" s="2" t="s">
        <v>124</v>
      </c>
      <c r="O13" s="2" t="s">
        <v>302</v>
      </c>
      <c r="P13" s="2" t="s">
        <v>352</v>
      </c>
      <c r="Q13" s="2" t="s">
        <v>364</v>
      </c>
      <c r="R13" s="2" t="s">
        <v>365</v>
      </c>
      <c r="S13" s="388"/>
      <c r="T13" s="388"/>
      <c r="U13" s="399"/>
      <c r="V13" s="608"/>
      <c r="W13" s="608"/>
      <c r="X13" s="602"/>
      <c r="Y13" s="602"/>
      <c r="Z13" s="602"/>
      <c r="AA13" s="602"/>
      <c r="AB13" s="602"/>
      <c r="AC13" s="602"/>
    </row>
    <row r="14" spans="1:23" ht="12" thickBot="1" thickTop="1">
      <c r="A14" s="13"/>
      <c r="B14" s="13"/>
      <c r="G14" s="395"/>
      <c r="H14" s="395"/>
      <c r="I14" s="395"/>
      <c r="J14" s="395"/>
      <c r="K14" s="395"/>
      <c r="L14" s="395"/>
      <c r="M14" s="395"/>
      <c r="N14" s="1"/>
      <c r="O14" s="1"/>
      <c r="P14" s="1"/>
      <c r="Q14" s="1"/>
      <c r="R14" s="1"/>
      <c r="S14" s="388"/>
      <c r="T14" s="388"/>
      <c r="U14" s="388"/>
      <c r="V14" s="395"/>
      <c r="W14" s="395"/>
    </row>
    <row r="15" spans="1:29" s="16" customFormat="1" ht="11.25" thickTop="1">
      <c r="A15" s="157" t="s">
        <v>1</v>
      </c>
      <c r="B15" s="328" t="s">
        <v>112</v>
      </c>
      <c r="C15" s="467" t="s">
        <v>112</v>
      </c>
      <c r="D15" s="467" t="s">
        <v>112</v>
      </c>
      <c r="E15" s="328" t="s">
        <v>12</v>
      </c>
      <c r="F15" s="328" t="s">
        <v>273</v>
      </c>
      <c r="G15" s="448" t="s">
        <v>273</v>
      </c>
      <c r="H15" s="448" t="s">
        <v>273</v>
      </c>
      <c r="I15" s="448" t="s">
        <v>112</v>
      </c>
      <c r="J15" s="448" t="s">
        <v>362</v>
      </c>
      <c r="K15" s="448" t="s">
        <v>0</v>
      </c>
      <c r="L15" s="403" t="s">
        <v>313</v>
      </c>
      <c r="M15" s="403" t="s">
        <v>15</v>
      </c>
      <c r="N15" s="177" t="s">
        <v>13</v>
      </c>
      <c r="O15" s="177" t="s">
        <v>14</v>
      </c>
      <c r="P15" s="177" t="s">
        <v>36</v>
      </c>
      <c r="Q15" s="177" t="s">
        <v>12</v>
      </c>
      <c r="R15" s="178" t="s">
        <v>0</v>
      </c>
      <c r="S15" s="388"/>
      <c r="T15" s="388"/>
      <c r="U15" s="388"/>
      <c r="V15" s="448" t="s">
        <v>112</v>
      </c>
      <c r="W15" s="448" t="s">
        <v>112</v>
      </c>
      <c r="X15" s="283"/>
      <c r="Y15" s="283"/>
      <c r="Z15" s="283"/>
      <c r="AA15" s="283"/>
      <c r="AB15" s="283"/>
      <c r="AC15" s="283"/>
    </row>
    <row r="16" spans="1:29" s="16" customFormat="1" ht="10.5">
      <c r="A16" s="160"/>
      <c r="B16" s="194" t="s">
        <v>314</v>
      </c>
      <c r="C16" s="468" t="s">
        <v>314</v>
      </c>
      <c r="D16" s="468" t="s">
        <v>314</v>
      </c>
      <c r="E16" s="194" t="s">
        <v>357</v>
      </c>
      <c r="F16" s="194" t="s">
        <v>315</v>
      </c>
      <c r="G16" s="450" t="s">
        <v>315</v>
      </c>
      <c r="H16" s="450" t="s">
        <v>315</v>
      </c>
      <c r="I16" s="450" t="s">
        <v>315</v>
      </c>
      <c r="J16" s="450" t="s">
        <v>315</v>
      </c>
      <c r="K16" s="450" t="s">
        <v>315</v>
      </c>
      <c r="L16" s="469" t="s">
        <v>298</v>
      </c>
      <c r="M16" s="409" t="s">
        <v>316</v>
      </c>
      <c r="N16" s="179" t="s">
        <v>17</v>
      </c>
      <c r="O16" s="179" t="s">
        <v>15</v>
      </c>
      <c r="P16" s="179" t="s">
        <v>23</v>
      </c>
      <c r="Q16" s="179" t="s">
        <v>18</v>
      </c>
      <c r="R16" s="180" t="s">
        <v>19</v>
      </c>
      <c r="S16" s="388"/>
      <c r="T16" s="388"/>
      <c r="U16" s="388"/>
      <c r="V16" s="450" t="s">
        <v>315</v>
      </c>
      <c r="W16" s="450" t="s">
        <v>315</v>
      </c>
      <c r="X16" s="283"/>
      <c r="Y16" s="283"/>
      <c r="Z16" s="283"/>
      <c r="AA16" s="283"/>
      <c r="AB16" s="283"/>
      <c r="AC16" s="283"/>
    </row>
    <row r="17" spans="1:29" s="16" customFormat="1" ht="10.5">
      <c r="A17" s="160"/>
      <c r="B17" s="194" t="s">
        <v>317</v>
      </c>
      <c r="C17" s="468" t="s">
        <v>318</v>
      </c>
      <c r="D17" s="468" t="s">
        <v>318</v>
      </c>
      <c r="E17" s="470" t="s">
        <v>37</v>
      </c>
      <c r="F17" s="470" t="s">
        <v>318</v>
      </c>
      <c r="G17" s="450" t="s">
        <v>318</v>
      </c>
      <c r="H17" s="450" t="s">
        <v>318</v>
      </c>
      <c r="I17" s="450" t="s">
        <v>318</v>
      </c>
      <c r="J17" s="450" t="s">
        <v>318</v>
      </c>
      <c r="K17" s="450" t="s">
        <v>318</v>
      </c>
      <c r="L17" s="409"/>
      <c r="M17" s="469" t="s">
        <v>319</v>
      </c>
      <c r="N17" s="179" t="s">
        <v>21</v>
      </c>
      <c r="O17" s="179" t="s">
        <v>22</v>
      </c>
      <c r="P17" s="181" t="s">
        <v>26</v>
      </c>
      <c r="Q17" s="179" t="s">
        <v>2</v>
      </c>
      <c r="R17" s="471" t="s">
        <v>320</v>
      </c>
      <c r="S17" s="388"/>
      <c r="T17" s="388"/>
      <c r="U17" s="388"/>
      <c r="V17" s="450" t="s">
        <v>318</v>
      </c>
      <c r="W17" s="450" t="s">
        <v>318</v>
      </c>
      <c r="X17" s="283"/>
      <c r="Y17" s="283"/>
      <c r="Z17" s="283"/>
      <c r="AA17" s="283"/>
      <c r="AB17" s="283"/>
      <c r="AC17" s="283"/>
    </row>
    <row r="18" spans="1:29" s="16" customFormat="1" ht="10.5">
      <c r="A18" s="160"/>
      <c r="B18" s="342" t="s">
        <v>279</v>
      </c>
      <c r="C18" s="472" t="s">
        <v>279</v>
      </c>
      <c r="D18" s="472" t="s">
        <v>356</v>
      </c>
      <c r="E18" s="473" t="s">
        <v>114</v>
      </c>
      <c r="F18" s="473" t="s">
        <v>279</v>
      </c>
      <c r="G18" s="572" t="s">
        <v>279</v>
      </c>
      <c r="H18" s="572" t="s">
        <v>356</v>
      </c>
      <c r="I18" s="450" t="s">
        <v>322</v>
      </c>
      <c r="J18" s="450" t="s">
        <v>363</v>
      </c>
      <c r="K18" s="450" t="s">
        <v>322</v>
      </c>
      <c r="L18" s="409"/>
      <c r="M18" s="409"/>
      <c r="N18" s="179" t="s">
        <v>25</v>
      </c>
      <c r="O18" s="179"/>
      <c r="P18" s="182" t="s">
        <v>28</v>
      </c>
      <c r="Q18" s="179"/>
      <c r="R18" s="474" t="s">
        <v>321</v>
      </c>
      <c r="S18" s="388"/>
      <c r="T18" s="388"/>
      <c r="U18" s="388"/>
      <c r="V18" s="450" t="s">
        <v>322</v>
      </c>
      <c r="W18" s="450" t="s">
        <v>322</v>
      </c>
      <c r="X18" s="603"/>
      <c r="Y18" s="603"/>
      <c r="Z18" s="603"/>
      <c r="AA18" s="603"/>
      <c r="AB18" s="603"/>
      <c r="AC18" s="603"/>
    </row>
    <row r="19" spans="1:29" s="16" customFormat="1" ht="10.5">
      <c r="A19" s="160"/>
      <c r="B19" s="342">
        <v>0.6</v>
      </c>
      <c r="C19" s="472">
        <v>1</v>
      </c>
      <c r="D19" s="472">
        <v>0.6</v>
      </c>
      <c r="E19" s="475"/>
      <c r="F19" s="475">
        <v>0.6</v>
      </c>
      <c r="G19" s="549" t="s">
        <v>359</v>
      </c>
      <c r="H19" s="549" t="s">
        <v>358</v>
      </c>
      <c r="I19" s="450"/>
      <c r="J19" s="450" t="s">
        <v>177</v>
      </c>
      <c r="K19" s="450"/>
      <c r="L19" s="450"/>
      <c r="M19" s="450"/>
      <c r="N19" s="183">
        <v>42005</v>
      </c>
      <c r="O19" s="179"/>
      <c r="P19" s="476" t="s">
        <v>361</v>
      </c>
      <c r="Q19" s="179"/>
      <c r="R19" s="477">
        <v>42005</v>
      </c>
      <c r="S19" s="388"/>
      <c r="T19" s="388"/>
      <c r="U19" s="388"/>
      <c r="V19" s="450" t="s">
        <v>32</v>
      </c>
      <c r="W19" s="450" t="s">
        <v>383</v>
      </c>
      <c r="X19" s="603"/>
      <c r="Y19" s="603"/>
      <c r="Z19" s="603"/>
      <c r="AA19" s="603"/>
      <c r="AB19" s="603"/>
      <c r="AC19" s="603"/>
    </row>
    <row r="20" spans="1:29" s="16" customFormat="1" ht="11.25" thickBot="1">
      <c r="A20" s="285"/>
      <c r="B20" s="478"/>
      <c r="C20" s="478"/>
      <c r="D20" s="478"/>
      <c r="E20" s="338"/>
      <c r="F20" s="338"/>
      <c r="G20" s="453"/>
      <c r="H20" s="453"/>
      <c r="I20" s="479" t="s">
        <v>360</v>
      </c>
      <c r="J20" s="573"/>
      <c r="K20" s="573"/>
      <c r="L20" s="450" t="s">
        <v>366</v>
      </c>
      <c r="M20" s="453" t="s">
        <v>367</v>
      </c>
      <c r="N20" s="188"/>
      <c r="O20" s="187" t="s">
        <v>368</v>
      </c>
      <c r="P20" s="51">
        <v>42005</v>
      </c>
      <c r="Q20" s="187" t="s">
        <v>369</v>
      </c>
      <c r="R20" s="189" t="s">
        <v>370</v>
      </c>
      <c r="S20" s="388"/>
      <c r="T20" s="388"/>
      <c r="U20" s="388"/>
      <c r="V20" s="479"/>
      <c r="W20" s="479"/>
      <c r="X20" s="604"/>
      <c r="Y20" s="604"/>
      <c r="Z20" s="604"/>
      <c r="AA20" s="604"/>
      <c r="AB20" s="604"/>
      <c r="AC20" s="604"/>
    </row>
    <row r="21" spans="1:29" s="16" customFormat="1" ht="12.75" customHeight="1" thickTop="1">
      <c r="A21" s="4"/>
      <c r="B21" s="4"/>
      <c r="C21" s="4"/>
      <c r="D21" s="4"/>
      <c r="E21" s="4"/>
      <c r="F21" s="4"/>
      <c r="G21" s="480"/>
      <c r="H21" s="480"/>
      <c r="I21" s="480"/>
      <c r="J21" s="480"/>
      <c r="K21" s="480"/>
      <c r="L21" s="480"/>
      <c r="M21" s="480"/>
      <c r="N21"/>
      <c r="O21"/>
      <c r="T21" s="382" t="s">
        <v>326</v>
      </c>
      <c r="V21" s="480"/>
      <c r="W21" s="480"/>
      <c r="X21" s="13"/>
      <c r="Y21" s="13"/>
      <c r="Z21" s="13"/>
      <c r="AA21" s="13"/>
      <c r="AB21" s="13"/>
      <c r="AC21" s="13"/>
    </row>
    <row r="22" spans="1:29" s="388" customFormat="1" ht="10.5">
      <c r="A22" s="481">
        <v>39814</v>
      </c>
      <c r="B22" s="430">
        <f>32.32*1.6</f>
        <v>51.71</v>
      </c>
      <c r="C22" s="430">
        <v>0</v>
      </c>
      <c r="D22" s="430">
        <v>0</v>
      </c>
      <c r="E22" s="482">
        <f>'01'!B22</f>
        <v>7.21</v>
      </c>
      <c r="F22" s="482">
        <f>B22*E22</f>
        <v>372.83</v>
      </c>
      <c r="G22" s="482">
        <f>C22*E22</f>
        <v>0</v>
      </c>
      <c r="H22" s="482">
        <f>D22*E22</f>
        <v>0</v>
      </c>
      <c r="I22" s="482">
        <f>F22+G22+H22</f>
        <v>372.83</v>
      </c>
      <c r="J22" s="482">
        <v>323.01</v>
      </c>
      <c r="K22" s="482">
        <f>I22-J22</f>
        <v>49.82</v>
      </c>
      <c r="L22" s="483">
        <f>K22*11.2%</f>
        <v>5.58</v>
      </c>
      <c r="M22" s="483">
        <f>K22+L22</f>
        <v>55.4</v>
      </c>
      <c r="N22" s="484">
        <f>Corr!F48</f>
        <v>1.03816541</v>
      </c>
      <c r="O22" s="483">
        <f>M22*N22</f>
        <v>57.51</v>
      </c>
      <c r="P22" s="432">
        <v>35.03</v>
      </c>
      <c r="Q22" s="483">
        <f>O22*P22%</f>
        <v>20.15</v>
      </c>
      <c r="R22" s="483">
        <f>O22+Q22</f>
        <v>77.66</v>
      </c>
      <c r="T22" s="485">
        <f>L22*N22</f>
        <v>5.79</v>
      </c>
      <c r="V22" s="482">
        <f>K22</f>
        <v>49.82</v>
      </c>
      <c r="W22" s="607">
        <f>V22/E22</f>
        <v>6.91</v>
      </c>
      <c r="X22" s="605"/>
      <c r="Y22" s="605"/>
      <c r="Z22" s="605"/>
      <c r="AA22" s="605"/>
      <c r="AB22" s="605"/>
      <c r="AC22" s="605"/>
    </row>
    <row r="23" spans="1:29" s="388" customFormat="1" ht="10.5">
      <c r="A23" s="481">
        <v>39845</v>
      </c>
      <c r="B23" s="430">
        <f>24.53*1.6</f>
        <v>39.25</v>
      </c>
      <c r="C23" s="430">
        <v>0</v>
      </c>
      <c r="D23" s="430">
        <v>0</v>
      </c>
      <c r="E23" s="482">
        <f>'01'!B23</f>
        <v>7.21</v>
      </c>
      <c r="F23" s="482">
        <f aca="true" t="shared" si="0" ref="F23:F53">B23*E23</f>
        <v>282.99</v>
      </c>
      <c r="G23" s="482">
        <f aca="true" t="shared" si="1" ref="G23:G53">C23*E23</f>
        <v>0</v>
      </c>
      <c r="H23" s="482">
        <f aca="true" t="shared" si="2" ref="H23:H53">D23*E23</f>
        <v>0</v>
      </c>
      <c r="I23" s="482">
        <f aca="true" t="shared" si="3" ref="I23:I53">F23+G23+H23</f>
        <v>282.99</v>
      </c>
      <c r="J23" s="482">
        <v>311.47</v>
      </c>
      <c r="K23" s="482">
        <v>0</v>
      </c>
      <c r="L23" s="483">
        <f aca="true" t="shared" si="4" ref="L23:L53">K23*11.2%</f>
        <v>0</v>
      </c>
      <c r="M23" s="483">
        <f aca="true" t="shared" si="5" ref="M23:M53">K23+L23</f>
        <v>0</v>
      </c>
      <c r="N23" s="484">
        <f>Corr!F49</f>
        <v>1.03769741</v>
      </c>
      <c r="O23" s="483">
        <f aca="true" t="shared" si="6" ref="O23:O53">M23*N23</f>
        <v>0</v>
      </c>
      <c r="P23" s="432">
        <v>35.03</v>
      </c>
      <c r="Q23" s="483">
        <f aca="true" t="shared" si="7" ref="Q23:Q53">O23*P23%</f>
        <v>0</v>
      </c>
      <c r="R23" s="483">
        <f aca="true" t="shared" si="8" ref="R23:R53">O23+Q23</f>
        <v>0</v>
      </c>
      <c r="T23" s="485">
        <f aca="true" t="shared" si="9" ref="T23:T53">L23*N23</f>
        <v>0</v>
      </c>
      <c r="V23" s="482">
        <f aca="true" t="shared" si="10" ref="V23:V53">K23</f>
        <v>0</v>
      </c>
      <c r="W23" s="607">
        <f aca="true" t="shared" si="11" ref="W23:W53">V23/E23</f>
        <v>0</v>
      </c>
      <c r="X23" s="605"/>
      <c r="Y23" s="605"/>
      <c r="Z23" s="605"/>
      <c r="AA23" s="605"/>
      <c r="AB23" s="605"/>
      <c r="AC23" s="605"/>
    </row>
    <row r="24" spans="1:29" s="388" customFormat="1" ht="10.5">
      <c r="A24" s="481">
        <v>39873</v>
      </c>
      <c r="B24" s="430">
        <f>19.86*1.6</f>
        <v>31.78</v>
      </c>
      <c r="C24" s="430">
        <v>0</v>
      </c>
      <c r="D24" s="430">
        <v>0</v>
      </c>
      <c r="E24" s="482">
        <f>'01'!B24</f>
        <v>7.21</v>
      </c>
      <c r="F24" s="482">
        <f t="shared" si="0"/>
        <v>229.13</v>
      </c>
      <c r="G24" s="482">
        <f t="shared" si="1"/>
        <v>0</v>
      </c>
      <c r="H24" s="482">
        <f t="shared" si="2"/>
        <v>0</v>
      </c>
      <c r="I24" s="482">
        <f t="shared" si="3"/>
        <v>229.13</v>
      </c>
      <c r="J24" s="482">
        <v>92.29</v>
      </c>
      <c r="K24" s="482">
        <f aca="true" t="shared" si="12" ref="K24:K53">I24-J24</f>
        <v>136.84</v>
      </c>
      <c r="L24" s="483">
        <f t="shared" si="4"/>
        <v>15.33</v>
      </c>
      <c r="M24" s="483">
        <f t="shared" si="5"/>
        <v>152.17</v>
      </c>
      <c r="N24" s="484">
        <f>Corr!F50</f>
        <v>1.03620734</v>
      </c>
      <c r="O24" s="483">
        <f t="shared" si="6"/>
        <v>157.68</v>
      </c>
      <c r="P24" s="432">
        <v>35.03</v>
      </c>
      <c r="Q24" s="483">
        <f t="shared" si="7"/>
        <v>55.24</v>
      </c>
      <c r="R24" s="483">
        <f t="shared" si="8"/>
        <v>212.92</v>
      </c>
      <c r="T24" s="485">
        <f t="shared" si="9"/>
        <v>15.89</v>
      </c>
      <c r="V24" s="482">
        <f t="shared" si="10"/>
        <v>136.84</v>
      </c>
      <c r="W24" s="607">
        <f t="shared" si="11"/>
        <v>18.98</v>
      </c>
      <c r="X24" s="605"/>
      <c r="Y24" s="605"/>
      <c r="Z24" s="605"/>
      <c r="AA24" s="605"/>
      <c r="AB24" s="605"/>
      <c r="AC24" s="605"/>
    </row>
    <row r="25" spans="1:29" s="388" customFormat="1" ht="10.5">
      <c r="A25" s="481">
        <v>39904</v>
      </c>
      <c r="B25" s="482">
        <f>51*1.6</f>
        <v>81.6</v>
      </c>
      <c r="C25" s="482">
        <v>0</v>
      </c>
      <c r="D25" s="482">
        <v>0</v>
      </c>
      <c r="E25" s="482">
        <f>'01'!B25</f>
        <v>7.21</v>
      </c>
      <c r="F25" s="482">
        <f t="shared" si="0"/>
        <v>588.34</v>
      </c>
      <c r="G25" s="482">
        <f t="shared" si="1"/>
        <v>0</v>
      </c>
      <c r="H25" s="482">
        <f t="shared" si="2"/>
        <v>0</v>
      </c>
      <c r="I25" s="482">
        <f t="shared" si="3"/>
        <v>588.34</v>
      </c>
      <c r="J25" s="482">
        <f>761.38</f>
        <v>761.38</v>
      </c>
      <c r="K25" s="482">
        <v>0</v>
      </c>
      <c r="L25" s="483">
        <f t="shared" si="4"/>
        <v>0</v>
      </c>
      <c r="M25" s="483">
        <f t="shared" si="5"/>
        <v>0</v>
      </c>
      <c r="N25" s="484">
        <f>Corr!F51</f>
        <v>1.03573712</v>
      </c>
      <c r="O25" s="483">
        <f t="shared" si="6"/>
        <v>0</v>
      </c>
      <c r="P25" s="432">
        <v>35.03</v>
      </c>
      <c r="Q25" s="483">
        <f t="shared" si="7"/>
        <v>0</v>
      </c>
      <c r="R25" s="483">
        <f t="shared" si="8"/>
        <v>0</v>
      </c>
      <c r="T25" s="485">
        <f t="shared" si="9"/>
        <v>0</v>
      </c>
      <c r="V25" s="482">
        <f t="shared" si="10"/>
        <v>0</v>
      </c>
      <c r="W25" s="607">
        <f t="shared" si="11"/>
        <v>0</v>
      </c>
      <c r="X25" s="605"/>
      <c r="Y25" s="605"/>
      <c r="Z25" s="605"/>
      <c r="AA25" s="605"/>
      <c r="AB25" s="605"/>
      <c r="AC25" s="605"/>
    </row>
    <row r="26" spans="1:29" s="388" customFormat="1" ht="10.5">
      <c r="A26" s="481">
        <v>39934</v>
      </c>
      <c r="B26" s="430">
        <v>0</v>
      </c>
      <c r="C26" s="430">
        <v>0</v>
      </c>
      <c r="D26" s="430">
        <v>0</v>
      </c>
      <c r="E26" s="482">
        <f>'01'!B26</f>
        <v>7.7</v>
      </c>
      <c r="F26" s="482">
        <f t="shared" si="0"/>
        <v>0</v>
      </c>
      <c r="G26" s="482">
        <f t="shared" si="1"/>
        <v>0</v>
      </c>
      <c r="H26" s="482">
        <f t="shared" si="2"/>
        <v>0</v>
      </c>
      <c r="I26" s="482">
        <f t="shared" si="3"/>
        <v>0</v>
      </c>
      <c r="J26" s="482">
        <v>874.72</v>
      </c>
      <c r="K26" s="482">
        <v>0</v>
      </c>
      <c r="L26" s="483">
        <f t="shared" si="4"/>
        <v>0</v>
      </c>
      <c r="M26" s="483">
        <f t="shared" si="5"/>
        <v>0</v>
      </c>
      <c r="N26" s="484">
        <f>Corr!F52</f>
        <v>1.03527228</v>
      </c>
      <c r="O26" s="483">
        <f t="shared" si="6"/>
        <v>0</v>
      </c>
      <c r="P26" s="432">
        <v>35.03</v>
      </c>
      <c r="Q26" s="483">
        <f t="shared" si="7"/>
        <v>0</v>
      </c>
      <c r="R26" s="483">
        <f t="shared" si="8"/>
        <v>0</v>
      </c>
      <c r="T26" s="485">
        <f t="shared" si="9"/>
        <v>0</v>
      </c>
      <c r="V26" s="482">
        <f t="shared" si="10"/>
        <v>0</v>
      </c>
      <c r="W26" s="607">
        <f t="shared" si="11"/>
        <v>0</v>
      </c>
      <c r="X26" s="605"/>
      <c r="Y26" s="605"/>
      <c r="Z26" s="605"/>
      <c r="AA26" s="605"/>
      <c r="AB26" s="605"/>
      <c r="AC26" s="605"/>
    </row>
    <row r="27" spans="1:29" s="388" customFormat="1" ht="10.5">
      <c r="A27" s="481">
        <v>39965</v>
      </c>
      <c r="B27" s="430">
        <v>0</v>
      </c>
      <c r="C27" s="430">
        <v>0</v>
      </c>
      <c r="D27" s="430">
        <v>0</v>
      </c>
      <c r="E27" s="482">
        <f>'01'!B27</f>
        <v>7.7</v>
      </c>
      <c r="F27" s="482">
        <f t="shared" si="0"/>
        <v>0</v>
      </c>
      <c r="G27" s="482">
        <f t="shared" si="1"/>
        <v>0</v>
      </c>
      <c r="H27" s="482">
        <f t="shared" si="2"/>
        <v>0</v>
      </c>
      <c r="I27" s="482">
        <f t="shared" si="3"/>
        <v>0</v>
      </c>
      <c r="J27" s="482">
        <f>739.2</f>
        <v>739.2</v>
      </c>
      <c r="K27" s="482">
        <v>0</v>
      </c>
      <c r="L27" s="483">
        <f t="shared" si="4"/>
        <v>0</v>
      </c>
      <c r="M27" s="483">
        <f t="shared" si="5"/>
        <v>0</v>
      </c>
      <c r="N27" s="484">
        <f>Corr!F53</f>
        <v>1.03459358</v>
      </c>
      <c r="O27" s="483">
        <f t="shared" si="6"/>
        <v>0</v>
      </c>
      <c r="P27" s="432">
        <v>35.03</v>
      </c>
      <c r="Q27" s="483">
        <f t="shared" si="7"/>
        <v>0</v>
      </c>
      <c r="R27" s="483">
        <f t="shared" si="8"/>
        <v>0</v>
      </c>
      <c r="T27" s="485">
        <f t="shared" si="9"/>
        <v>0</v>
      </c>
      <c r="V27" s="482">
        <f t="shared" si="10"/>
        <v>0</v>
      </c>
      <c r="W27" s="607">
        <f t="shared" si="11"/>
        <v>0</v>
      </c>
      <c r="X27" s="605"/>
      <c r="Y27" s="605"/>
      <c r="Z27" s="605"/>
      <c r="AA27" s="605"/>
      <c r="AB27" s="605"/>
      <c r="AC27" s="605"/>
    </row>
    <row r="28" spans="1:29" s="388" customFormat="1" ht="10.5">
      <c r="A28" s="481">
        <v>39995</v>
      </c>
      <c r="B28" s="430">
        <v>0</v>
      </c>
      <c r="C28" s="430">
        <v>0</v>
      </c>
      <c r="D28" s="430">
        <v>0</v>
      </c>
      <c r="E28" s="482">
        <f>'01'!B28</f>
        <v>7.7</v>
      </c>
      <c r="F28" s="482">
        <f t="shared" si="0"/>
        <v>0</v>
      </c>
      <c r="G28" s="482">
        <f t="shared" si="1"/>
        <v>0</v>
      </c>
      <c r="H28" s="482">
        <f t="shared" si="2"/>
        <v>0</v>
      </c>
      <c r="I28" s="482">
        <f t="shared" si="3"/>
        <v>0</v>
      </c>
      <c r="J28" s="482">
        <v>726.88</v>
      </c>
      <c r="K28" s="482">
        <v>0</v>
      </c>
      <c r="L28" s="483">
        <f t="shared" si="4"/>
        <v>0</v>
      </c>
      <c r="M28" s="483">
        <f t="shared" si="5"/>
        <v>0</v>
      </c>
      <c r="N28" s="484">
        <f>Corr!F54</f>
        <v>1.03350737</v>
      </c>
      <c r="O28" s="483">
        <f t="shared" si="6"/>
        <v>0</v>
      </c>
      <c r="P28" s="432">
        <v>35.03</v>
      </c>
      <c r="Q28" s="483">
        <f t="shared" si="7"/>
        <v>0</v>
      </c>
      <c r="R28" s="483">
        <f t="shared" si="8"/>
        <v>0</v>
      </c>
      <c r="T28" s="485">
        <f t="shared" si="9"/>
        <v>0</v>
      </c>
      <c r="V28" s="482">
        <f t="shared" si="10"/>
        <v>0</v>
      </c>
      <c r="W28" s="607">
        <f t="shared" si="11"/>
        <v>0</v>
      </c>
      <c r="X28" s="605"/>
      <c r="Y28" s="605"/>
      <c r="Z28" s="605"/>
      <c r="AA28" s="605"/>
      <c r="AB28" s="605"/>
      <c r="AC28" s="605"/>
    </row>
    <row r="29" spans="1:29" s="388" customFormat="1" ht="10.5">
      <c r="A29" s="481">
        <v>40026</v>
      </c>
      <c r="B29" s="430">
        <f>46.63*1.6</f>
        <v>74.61</v>
      </c>
      <c r="C29" s="430">
        <v>0</v>
      </c>
      <c r="D29" s="430">
        <f>2.5*1.6</f>
        <v>4</v>
      </c>
      <c r="E29" s="482">
        <f>'01'!B29</f>
        <v>7.7</v>
      </c>
      <c r="F29" s="482">
        <f t="shared" si="0"/>
        <v>574.5</v>
      </c>
      <c r="G29" s="482">
        <f t="shared" si="1"/>
        <v>0</v>
      </c>
      <c r="H29" s="482">
        <f t="shared" si="2"/>
        <v>30.8</v>
      </c>
      <c r="I29" s="482">
        <f t="shared" si="3"/>
        <v>605.3</v>
      </c>
      <c r="J29" s="482">
        <f>683.76+138.6</f>
        <v>822.36</v>
      </c>
      <c r="K29" s="482">
        <v>0</v>
      </c>
      <c r="L29" s="483">
        <f t="shared" si="4"/>
        <v>0</v>
      </c>
      <c r="M29" s="483">
        <f t="shared" si="5"/>
        <v>0</v>
      </c>
      <c r="N29" s="484">
        <f>Corr!F55</f>
        <v>1.03330381</v>
      </c>
      <c r="O29" s="483">
        <f t="shared" si="6"/>
        <v>0</v>
      </c>
      <c r="P29" s="432">
        <v>35.03</v>
      </c>
      <c r="Q29" s="483">
        <f t="shared" si="7"/>
        <v>0</v>
      </c>
      <c r="R29" s="483">
        <f t="shared" si="8"/>
        <v>0</v>
      </c>
      <c r="T29" s="485">
        <f t="shared" si="9"/>
        <v>0</v>
      </c>
      <c r="V29" s="482">
        <f t="shared" si="10"/>
        <v>0</v>
      </c>
      <c r="W29" s="607">
        <f t="shared" si="11"/>
        <v>0</v>
      </c>
      <c r="X29" s="605"/>
      <c r="Y29" s="605"/>
      <c r="Z29" s="605"/>
      <c r="AA29" s="605"/>
      <c r="AB29" s="605"/>
      <c r="AC29" s="605"/>
    </row>
    <row r="30" spans="1:29" s="388" customFormat="1" ht="10.5">
      <c r="A30" s="481">
        <v>40057</v>
      </c>
      <c r="B30" s="430">
        <f>73.02*1.6</f>
        <v>116.83</v>
      </c>
      <c r="C30" s="430">
        <f>7.5*2</f>
        <v>15</v>
      </c>
      <c r="D30" s="430">
        <f>5.85*1.6</f>
        <v>9.36</v>
      </c>
      <c r="E30" s="482">
        <f>'01'!B30</f>
        <v>7.7</v>
      </c>
      <c r="F30" s="482">
        <f t="shared" si="0"/>
        <v>899.59</v>
      </c>
      <c r="G30" s="482">
        <f t="shared" si="1"/>
        <v>115.5</v>
      </c>
      <c r="H30" s="482">
        <f t="shared" si="2"/>
        <v>72.07</v>
      </c>
      <c r="I30" s="482">
        <f t="shared" si="3"/>
        <v>1087.16</v>
      </c>
      <c r="J30" s="482">
        <f>930.16+346.5</f>
        <v>1276.66</v>
      </c>
      <c r="K30" s="482">
        <v>0</v>
      </c>
      <c r="L30" s="483">
        <f t="shared" si="4"/>
        <v>0</v>
      </c>
      <c r="M30" s="483">
        <f t="shared" si="5"/>
        <v>0</v>
      </c>
      <c r="N30" s="484">
        <f>Corr!F56</f>
        <v>1.03330381</v>
      </c>
      <c r="O30" s="483">
        <f t="shared" si="6"/>
        <v>0</v>
      </c>
      <c r="P30" s="432">
        <v>35.03</v>
      </c>
      <c r="Q30" s="483">
        <f t="shared" si="7"/>
        <v>0</v>
      </c>
      <c r="R30" s="483">
        <f t="shared" si="8"/>
        <v>0</v>
      </c>
      <c r="T30" s="485">
        <f t="shared" si="9"/>
        <v>0</v>
      </c>
      <c r="V30" s="482">
        <f t="shared" si="10"/>
        <v>0</v>
      </c>
      <c r="W30" s="607">
        <f t="shared" si="11"/>
        <v>0</v>
      </c>
      <c r="X30" s="605"/>
      <c r="Y30" s="605"/>
      <c r="Z30" s="605"/>
      <c r="AA30" s="605"/>
      <c r="AB30" s="605"/>
      <c r="AC30" s="605"/>
    </row>
    <row r="31" spans="1:29" s="388" customFormat="1" ht="10.5">
      <c r="A31" s="481">
        <v>40087</v>
      </c>
      <c r="B31" s="430">
        <f>18.3*1.6</f>
        <v>29.28</v>
      </c>
      <c r="C31" s="430">
        <v>0</v>
      </c>
      <c r="D31" s="430">
        <v>0</v>
      </c>
      <c r="E31" s="482">
        <f>'01'!B31</f>
        <v>7.7</v>
      </c>
      <c r="F31" s="482">
        <f t="shared" si="0"/>
        <v>225.46</v>
      </c>
      <c r="G31" s="482">
        <f t="shared" si="1"/>
        <v>0</v>
      </c>
      <c r="H31" s="482">
        <f t="shared" si="2"/>
        <v>0</v>
      </c>
      <c r="I31" s="482">
        <f t="shared" si="3"/>
        <v>225.46</v>
      </c>
      <c r="J31" s="482">
        <v>197.12</v>
      </c>
      <c r="K31" s="482">
        <f t="shared" si="12"/>
        <v>28.34</v>
      </c>
      <c r="L31" s="483">
        <f t="shared" si="4"/>
        <v>3.17</v>
      </c>
      <c r="M31" s="483">
        <f t="shared" si="5"/>
        <v>31.51</v>
      </c>
      <c r="N31" s="484">
        <f>Corr!F57</f>
        <v>1.03330381</v>
      </c>
      <c r="O31" s="483">
        <f t="shared" si="6"/>
        <v>32.56</v>
      </c>
      <c r="P31" s="432">
        <v>35.03</v>
      </c>
      <c r="Q31" s="483">
        <f t="shared" si="7"/>
        <v>11.41</v>
      </c>
      <c r="R31" s="483">
        <f t="shared" si="8"/>
        <v>43.97</v>
      </c>
      <c r="T31" s="485">
        <f t="shared" si="9"/>
        <v>3.28</v>
      </c>
      <c r="V31" s="482">
        <f t="shared" si="10"/>
        <v>28.34</v>
      </c>
      <c r="W31" s="607">
        <f t="shared" si="11"/>
        <v>3.68</v>
      </c>
      <c r="X31" s="605"/>
      <c r="Y31" s="605"/>
      <c r="Z31" s="605"/>
      <c r="AA31" s="605"/>
      <c r="AB31" s="605"/>
      <c r="AC31" s="605"/>
    </row>
    <row r="32" spans="1:29" s="388" customFormat="1" ht="10.5">
      <c r="A32" s="481">
        <v>40118</v>
      </c>
      <c r="B32" s="430">
        <f>26*1.6</f>
        <v>41.6</v>
      </c>
      <c r="C32" s="430">
        <v>0</v>
      </c>
      <c r="D32" s="430">
        <v>0</v>
      </c>
      <c r="E32" s="482">
        <f>'01'!B32</f>
        <v>7.7</v>
      </c>
      <c r="F32" s="482">
        <f t="shared" si="0"/>
        <v>320.32</v>
      </c>
      <c r="G32" s="482">
        <f t="shared" si="1"/>
        <v>0</v>
      </c>
      <c r="H32" s="482">
        <f t="shared" si="2"/>
        <v>0</v>
      </c>
      <c r="I32" s="482">
        <f t="shared" si="3"/>
        <v>320.32</v>
      </c>
      <c r="J32" s="482">
        <f>394.24</f>
        <v>394.24</v>
      </c>
      <c r="K32" s="482">
        <v>0</v>
      </c>
      <c r="L32" s="483">
        <f t="shared" si="4"/>
        <v>0</v>
      </c>
      <c r="M32" s="483">
        <f t="shared" si="5"/>
        <v>0</v>
      </c>
      <c r="N32" s="484">
        <f>Corr!F58</f>
        <v>1.03330381</v>
      </c>
      <c r="O32" s="483">
        <f t="shared" si="6"/>
        <v>0</v>
      </c>
      <c r="P32" s="432">
        <v>35.03</v>
      </c>
      <c r="Q32" s="483">
        <f t="shared" si="7"/>
        <v>0</v>
      </c>
      <c r="R32" s="483">
        <f t="shared" si="8"/>
        <v>0</v>
      </c>
      <c r="T32" s="485">
        <f t="shared" si="9"/>
        <v>0</v>
      </c>
      <c r="V32" s="482">
        <f t="shared" si="10"/>
        <v>0</v>
      </c>
      <c r="W32" s="607">
        <f t="shared" si="11"/>
        <v>0</v>
      </c>
      <c r="X32" s="605"/>
      <c r="Y32" s="605"/>
      <c r="Z32" s="605"/>
      <c r="AA32" s="605"/>
      <c r="AB32" s="605"/>
      <c r="AC32" s="605"/>
    </row>
    <row r="33" spans="1:29" s="388" customFormat="1" ht="10.5">
      <c r="A33" s="481">
        <v>40148</v>
      </c>
      <c r="B33" s="430">
        <f>17*1.6</f>
        <v>27.2</v>
      </c>
      <c r="C33" s="430">
        <v>0</v>
      </c>
      <c r="D33" s="430">
        <v>0</v>
      </c>
      <c r="E33" s="482">
        <f>'01'!B33</f>
        <v>7.7</v>
      </c>
      <c r="F33" s="482">
        <f t="shared" si="0"/>
        <v>209.44</v>
      </c>
      <c r="G33" s="482">
        <f t="shared" si="1"/>
        <v>0</v>
      </c>
      <c r="H33" s="482">
        <f t="shared" si="2"/>
        <v>0</v>
      </c>
      <c r="I33" s="482">
        <f t="shared" si="3"/>
        <v>209.44</v>
      </c>
      <c r="J33" s="482">
        <v>123.2</v>
      </c>
      <c r="K33" s="482">
        <f t="shared" si="12"/>
        <v>86.24</v>
      </c>
      <c r="L33" s="483">
        <f t="shared" si="4"/>
        <v>9.66</v>
      </c>
      <c r="M33" s="483">
        <f t="shared" si="5"/>
        <v>95.9</v>
      </c>
      <c r="N33" s="484">
        <f>Corr!G47</f>
        <v>1.03275335</v>
      </c>
      <c r="O33" s="483">
        <f t="shared" si="6"/>
        <v>99.04</v>
      </c>
      <c r="P33" s="432">
        <v>35.03</v>
      </c>
      <c r="Q33" s="483">
        <f t="shared" si="7"/>
        <v>34.69</v>
      </c>
      <c r="R33" s="483">
        <f t="shared" si="8"/>
        <v>133.73</v>
      </c>
      <c r="T33" s="485">
        <f t="shared" si="9"/>
        <v>9.98</v>
      </c>
      <c r="V33" s="482">
        <f t="shared" si="10"/>
        <v>86.24</v>
      </c>
      <c r="W33" s="607">
        <f t="shared" si="11"/>
        <v>11.2</v>
      </c>
      <c r="X33" s="605"/>
      <c r="Y33" s="605"/>
      <c r="Z33" s="605"/>
      <c r="AA33" s="605"/>
      <c r="AB33" s="605"/>
      <c r="AC33" s="605"/>
    </row>
    <row r="34" spans="1:29" s="388" customFormat="1" ht="10.5">
      <c r="A34" s="481">
        <v>40179</v>
      </c>
      <c r="B34" s="430">
        <f>20.02*1.6</f>
        <v>32.03</v>
      </c>
      <c r="C34" s="430">
        <v>0</v>
      </c>
      <c r="D34" s="430">
        <v>0</v>
      </c>
      <c r="E34" s="482">
        <f>'01'!B34</f>
        <v>7.7</v>
      </c>
      <c r="F34" s="482">
        <f t="shared" si="0"/>
        <v>246.63</v>
      </c>
      <c r="G34" s="482">
        <f t="shared" si="1"/>
        <v>0</v>
      </c>
      <c r="H34" s="482">
        <f t="shared" si="2"/>
        <v>0</v>
      </c>
      <c r="I34" s="482">
        <f t="shared" si="3"/>
        <v>246.63</v>
      </c>
      <c r="J34" s="482">
        <v>295.68</v>
      </c>
      <c r="K34" s="482">
        <v>0</v>
      </c>
      <c r="L34" s="483">
        <f t="shared" si="4"/>
        <v>0</v>
      </c>
      <c r="M34" s="483">
        <f t="shared" si="5"/>
        <v>0</v>
      </c>
      <c r="N34" s="484">
        <f>Corr!G48</f>
        <v>1.03275335</v>
      </c>
      <c r="O34" s="483">
        <f t="shared" si="6"/>
        <v>0</v>
      </c>
      <c r="P34" s="432">
        <v>35.03</v>
      </c>
      <c r="Q34" s="483">
        <f t="shared" si="7"/>
        <v>0</v>
      </c>
      <c r="R34" s="483">
        <f t="shared" si="8"/>
        <v>0</v>
      </c>
      <c r="T34" s="485">
        <f t="shared" si="9"/>
        <v>0</v>
      </c>
      <c r="V34" s="482">
        <f t="shared" si="10"/>
        <v>0</v>
      </c>
      <c r="W34" s="607">
        <f t="shared" si="11"/>
        <v>0</v>
      </c>
      <c r="X34" s="605"/>
      <c r="Y34" s="605"/>
      <c r="Z34" s="605"/>
      <c r="AA34" s="605"/>
      <c r="AB34" s="605"/>
      <c r="AC34" s="605"/>
    </row>
    <row r="35" spans="1:29" s="388" customFormat="1" ht="10.5">
      <c r="A35" s="481">
        <v>40210</v>
      </c>
      <c r="B35" s="430">
        <f>25.53*1.6</f>
        <v>40.85</v>
      </c>
      <c r="C35" s="430">
        <v>0</v>
      </c>
      <c r="D35" s="430">
        <v>0</v>
      </c>
      <c r="E35" s="482">
        <f>'01'!B35</f>
        <v>7.7</v>
      </c>
      <c r="F35" s="482">
        <f t="shared" si="0"/>
        <v>314.55</v>
      </c>
      <c r="G35" s="482">
        <f t="shared" si="1"/>
        <v>0</v>
      </c>
      <c r="H35" s="482">
        <f t="shared" si="2"/>
        <v>0</v>
      </c>
      <c r="I35" s="482">
        <f t="shared" si="3"/>
        <v>314.55</v>
      </c>
      <c r="J35" s="482">
        <f>394.24</f>
        <v>394.24</v>
      </c>
      <c r="K35" s="482">
        <v>0</v>
      </c>
      <c r="L35" s="483">
        <f t="shared" si="4"/>
        <v>0</v>
      </c>
      <c r="M35" s="483">
        <f t="shared" si="5"/>
        <v>0</v>
      </c>
      <c r="N35" s="484">
        <f>Corr!G49</f>
        <v>1.03275335</v>
      </c>
      <c r="O35" s="483">
        <f t="shared" si="6"/>
        <v>0</v>
      </c>
      <c r="P35" s="432">
        <v>35.03</v>
      </c>
      <c r="Q35" s="483">
        <f t="shared" si="7"/>
        <v>0</v>
      </c>
      <c r="R35" s="483">
        <f t="shared" si="8"/>
        <v>0</v>
      </c>
      <c r="T35" s="485">
        <f t="shared" si="9"/>
        <v>0</v>
      </c>
      <c r="V35" s="482">
        <f t="shared" si="10"/>
        <v>0</v>
      </c>
      <c r="W35" s="607">
        <f t="shared" si="11"/>
        <v>0</v>
      </c>
      <c r="X35" s="605"/>
      <c r="Y35" s="605"/>
      <c r="Z35" s="605"/>
      <c r="AA35" s="605"/>
      <c r="AB35" s="605"/>
      <c r="AC35" s="605"/>
    </row>
    <row r="36" spans="1:29" s="388" customFormat="1" ht="10.5">
      <c r="A36" s="481">
        <v>40238</v>
      </c>
      <c r="B36" s="430">
        <v>0</v>
      </c>
      <c r="C36" s="430">
        <v>0</v>
      </c>
      <c r="D36" s="430">
        <v>0</v>
      </c>
      <c r="E36" s="482">
        <f>'01'!B36</f>
        <v>7.7</v>
      </c>
      <c r="F36" s="482">
        <f t="shared" si="0"/>
        <v>0</v>
      </c>
      <c r="G36" s="482">
        <f t="shared" si="1"/>
        <v>0</v>
      </c>
      <c r="H36" s="482">
        <f t="shared" si="2"/>
        <v>0</v>
      </c>
      <c r="I36" s="482">
        <f t="shared" si="3"/>
        <v>0</v>
      </c>
      <c r="J36" s="482">
        <f>338.8</f>
        <v>338.8</v>
      </c>
      <c r="K36" s="482">
        <v>0</v>
      </c>
      <c r="L36" s="483">
        <f t="shared" si="4"/>
        <v>0</v>
      </c>
      <c r="M36" s="483">
        <f t="shared" si="5"/>
        <v>0</v>
      </c>
      <c r="N36" s="484">
        <f>Corr!G50</f>
        <v>1.03193606</v>
      </c>
      <c r="O36" s="483">
        <f t="shared" si="6"/>
        <v>0</v>
      </c>
      <c r="P36" s="432">
        <v>35.03</v>
      </c>
      <c r="Q36" s="483">
        <f t="shared" si="7"/>
        <v>0</v>
      </c>
      <c r="R36" s="483">
        <f t="shared" si="8"/>
        <v>0</v>
      </c>
      <c r="T36" s="485">
        <f t="shared" si="9"/>
        <v>0</v>
      </c>
      <c r="V36" s="482">
        <f t="shared" si="10"/>
        <v>0</v>
      </c>
      <c r="W36" s="607">
        <f t="shared" si="11"/>
        <v>0</v>
      </c>
      <c r="X36" s="605"/>
      <c r="Y36" s="605"/>
      <c r="Z36" s="605"/>
      <c r="AA36" s="605"/>
      <c r="AB36" s="605"/>
      <c r="AC36" s="605"/>
    </row>
    <row r="37" spans="1:29" s="388" customFormat="1" ht="10.5">
      <c r="A37" s="481">
        <v>40269</v>
      </c>
      <c r="B37" s="430">
        <f>35.02*1.6</f>
        <v>56.03</v>
      </c>
      <c r="C37" s="430">
        <f>15*2</f>
        <v>30</v>
      </c>
      <c r="D37" s="430">
        <v>0</v>
      </c>
      <c r="E37" s="482">
        <f>'01'!B37</f>
        <v>7.7</v>
      </c>
      <c r="F37" s="482">
        <f t="shared" si="0"/>
        <v>431.43</v>
      </c>
      <c r="G37" s="482">
        <f t="shared" si="1"/>
        <v>231</v>
      </c>
      <c r="H37" s="482">
        <f t="shared" si="2"/>
        <v>0</v>
      </c>
      <c r="I37" s="482">
        <f t="shared" si="3"/>
        <v>662.43</v>
      </c>
      <c r="J37" s="482">
        <f>529.76+369.6</f>
        <v>899.36</v>
      </c>
      <c r="K37" s="482">
        <v>0</v>
      </c>
      <c r="L37" s="483">
        <f t="shared" si="4"/>
        <v>0</v>
      </c>
      <c r="M37" s="483">
        <f t="shared" si="5"/>
        <v>0</v>
      </c>
      <c r="N37" s="484">
        <f>Corr!G51</f>
        <v>1.03193606</v>
      </c>
      <c r="O37" s="483">
        <f t="shared" si="6"/>
        <v>0</v>
      </c>
      <c r="P37" s="432">
        <v>35.03</v>
      </c>
      <c r="Q37" s="483">
        <f t="shared" si="7"/>
        <v>0</v>
      </c>
      <c r="R37" s="483">
        <f t="shared" si="8"/>
        <v>0</v>
      </c>
      <c r="T37" s="485">
        <f t="shared" si="9"/>
        <v>0</v>
      </c>
      <c r="V37" s="482">
        <f t="shared" si="10"/>
        <v>0</v>
      </c>
      <c r="W37" s="607">
        <f t="shared" si="11"/>
        <v>0</v>
      </c>
      <c r="X37" s="605"/>
      <c r="Y37" s="605"/>
      <c r="Z37" s="605"/>
      <c r="AA37" s="605"/>
      <c r="AB37" s="605"/>
      <c r="AC37" s="605"/>
    </row>
    <row r="38" spans="1:29" s="388" customFormat="1" ht="10.5">
      <c r="A38" s="481">
        <v>40299</v>
      </c>
      <c r="B38" s="430">
        <f>61.33*1.6</f>
        <v>98.13</v>
      </c>
      <c r="C38" s="430">
        <f>25*2</f>
        <v>50</v>
      </c>
      <c r="D38" s="430">
        <f>12*1.6</f>
        <v>19.2</v>
      </c>
      <c r="E38" s="482">
        <f>'01'!B38</f>
        <v>8.32</v>
      </c>
      <c r="F38" s="482">
        <f t="shared" si="0"/>
        <v>816.44</v>
      </c>
      <c r="G38" s="482">
        <f t="shared" si="1"/>
        <v>416</v>
      </c>
      <c r="H38" s="482">
        <f t="shared" si="2"/>
        <v>159.74</v>
      </c>
      <c r="I38" s="482">
        <f t="shared" si="3"/>
        <v>1392.18</v>
      </c>
      <c r="J38" s="482">
        <f>705.54+599.04</f>
        <v>1304.58</v>
      </c>
      <c r="K38" s="482">
        <f t="shared" si="12"/>
        <v>87.6</v>
      </c>
      <c r="L38" s="483">
        <f t="shared" si="4"/>
        <v>9.81</v>
      </c>
      <c r="M38" s="483">
        <f t="shared" si="5"/>
        <v>97.41</v>
      </c>
      <c r="N38" s="484">
        <f>Corr!G52</f>
        <v>1.03141004</v>
      </c>
      <c r="O38" s="483">
        <f t="shared" si="6"/>
        <v>100.47</v>
      </c>
      <c r="P38" s="432">
        <v>35.03</v>
      </c>
      <c r="Q38" s="483">
        <f t="shared" si="7"/>
        <v>35.19</v>
      </c>
      <c r="R38" s="483">
        <f t="shared" si="8"/>
        <v>135.66</v>
      </c>
      <c r="T38" s="485">
        <f t="shared" si="9"/>
        <v>10.12</v>
      </c>
      <c r="V38" s="482">
        <f t="shared" si="10"/>
        <v>87.6</v>
      </c>
      <c r="W38" s="607">
        <f t="shared" si="11"/>
        <v>10.53</v>
      </c>
      <c r="X38" s="605"/>
      <c r="Y38" s="605"/>
      <c r="Z38" s="605"/>
      <c r="AA38" s="605"/>
      <c r="AB38" s="605"/>
      <c r="AC38" s="605"/>
    </row>
    <row r="39" spans="1:29" s="388" customFormat="1" ht="10.5">
      <c r="A39" s="481">
        <v>40330</v>
      </c>
      <c r="B39" s="430">
        <f>41.18*1.6</f>
        <v>65.89</v>
      </c>
      <c r="C39" s="430">
        <f>17*2</f>
        <v>34</v>
      </c>
      <c r="D39" s="430">
        <v>0</v>
      </c>
      <c r="E39" s="482">
        <f>'01'!B39</f>
        <v>8.32</v>
      </c>
      <c r="F39" s="482">
        <f t="shared" si="0"/>
        <v>548.2</v>
      </c>
      <c r="G39" s="482">
        <f t="shared" si="1"/>
        <v>282.88</v>
      </c>
      <c r="H39" s="482">
        <f t="shared" si="2"/>
        <v>0</v>
      </c>
      <c r="I39" s="482">
        <f t="shared" si="3"/>
        <v>831.08</v>
      </c>
      <c r="J39" s="482">
        <f>332.8+282.88</f>
        <v>615.68</v>
      </c>
      <c r="K39" s="482">
        <f t="shared" si="12"/>
        <v>215.4</v>
      </c>
      <c r="L39" s="483">
        <f t="shared" si="4"/>
        <v>24.12</v>
      </c>
      <c r="M39" s="483">
        <f t="shared" si="5"/>
        <v>239.52</v>
      </c>
      <c r="N39" s="484">
        <f>Corr!G53</f>
        <v>1.03080289</v>
      </c>
      <c r="O39" s="483">
        <f t="shared" si="6"/>
        <v>246.9</v>
      </c>
      <c r="P39" s="432">
        <v>35.03</v>
      </c>
      <c r="Q39" s="483">
        <f t="shared" si="7"/>
        <v>86.49</v>
      </c>
      <c r="R39" s="483">
        <f t="shared" si="8"/>
        <v>333.39</v>
      </c>
      <c r="T39" s="485">
        <f t="shared" si="9"/>
        <v>24.86</v>
      </c>
      <c r="V39" s="482">
        <f t="shared" si="10"/>
        <v>215.4</v>
      </c>
      <c r="W39" s="607">
        <f t="shared" si="11"/>
        <v>25.89</v>
      </c>
      <c r="X39" s="605"/>
      <c r="Y39" s="605"/>
      <c r="Z39" s="605"/>
      <c r="AA39" s="605"/>
      <c r="AB39" s="605"/>
      <c r="AC39" s="605"/>
    </row>
    <row r="40" spans="1:29" s="388" customFormat="1" ht="10.5">
      <c r="A40" s="481">
        <v>40360</v>
      </c>
      <c r="B40" s="430">
        <f>16.58*1.6</f>
        <v>26.53</v>
      </c>
      <c r="C40" s="430">
        <f>12*2</f>
        <v>24</v>
      </c>
      <c r="D40" s="430">
        <v>0</v>
      </c>
      <c r="E40" s="482">
        <f>'01'!B40</f>
        <v>8.32</v>
      </c>
      <c r="F40" s="482">
        <f t="shared" si="0"/>
        <v>220.73</v>
      </c>
      <c r="G40" s="482">
        <f t="shared" si="1"/>
        <v>199.68</v>
      </c>
      <c r="H40" s="482">
        <f t="shared" si="2"/>
        <v>0</v>
      </c>
      <c r="I40" s="482">
        <f t="shared" si="3"/>
        <v>420.41</v>
      </c>
      <c r="J40" s="482">
        <f>399.36</f>
        <v>399.36</v>
      </c>
      <c r="K40" s="482">
        <f t="shared" si="12"/>
        <v>21.05</v>
      </c>
      <c r="L40" s="483">
        <f t="shared" si="4"/>
        <v>2.36</v>
      </c>
      <c r="M40" s="483">
        <f t="shared" si="5"/>
        <v>23.41</v>
      </c>
      <c r="N40" s="484">
        <f>Corr!G54</f>
        <v>1.0296178</v>
      </c>
      <c r="O40" s="483">
        <f t="shared" si="6"/>
        <v>24.1</v>
      </c>
      <c r="P40" s="432">
        <v>35.03</v>
      </c>
      <c r="Q40" s="483">
        <f t="shared" si="7"/>
        <v>8.44</v>
      </c>
      <c r="R40" s="483">
        <f t="shared" si="8"/>
        <v>32.54</v>
      </c>
      <c r="T40" s="485">
        <f t="shared" si="9"/>
        <v>2.43</v>
      </c>
      <c r="V40" s="482">
        <f t="shared" si="10"/>
        <v>21.05</v>
      </c>
      <c r="W40" s="607">
        <f t="shared" si="11"/>
        <v>2.53</v>
      </c>
      <c r="X40" s="605"/>
      <c r="Y40" s="605"/>
      <c r="Z40" s="605"/>
      <c r="AA40" s="605"/>
      <c r="AB40" s="605"/>
      <c r="AC40" s="605"/>
    </row>
    <row r="41" spans="1:29" s="388" customFormat="1" ht="10.5">
      <c r="A41" s="481">
        <v>40391</v>
      </c>
      <c r="B41" s="430">
        <f>47.32*1.6</f>
        <v>75.71</v>
      </c>
      <c r="C41" s="430">
        <f>25*2</f>
        <v>50</v>
      </c>
      <c r="D41" s="430">
        <v>0</v>
      </c>
      <c r="E41" s="482">
        <f>'01'!B41</f>
        <v>8.32</v>
      </c>
      <c r="F41" s="482">
        <f t="shared" si="0"/>
        <v>629.91</v>
      </c>
      <c r="G41" s="482">
        <f t="shared" si="1"/>
        <v>416</v>
      </c>
      <c r="H41" s="482">
        <f t="shared" si="2"/>
        <v>0</v>
      </c>
      <c r="I41" s="482">
        <f t="shared" si="3"/>
        <v>1045.91</v>
      </c>
      <c r="J41" s="482">
        <f>718.85</f>
        <v>718.85</v>
      </c>
      <c r="K41" s="482">
        <f t="shared" si="12"/>
        <v>327.06</v>
      </c>
      <c r="L41" s="483">
        <f t="shared" si="4"/>
        <v>36.63</v>
      </c>
      <c r="M41" s="483">
        <f t="shared" si="5"/>
        <v>363.69</v>
      </c>
      <c r="N41" s="484">
        <f>Corr!G55</f>
        <v>1.02868273</v>
      </c>
      <c r="O41" s="483">
        <f t="shared" si="6"/>
        <v>374.12</v>
      </c>
      <c r="P41" s="432">
        <v>35.03</v>
      </c>
      <c r="Q41" s="483">
        <f t="shared" si="7"/>
        <v>131.05</v>
      </c>
      <c r="R41" s="483">
        <f t="shared" si="8"/>
        <v>505.17</v>
      </c>
      <c r="T41" s="485">
        <f t="shared" si="9"/>
        <v>37.68</v>
      </c>
      <c r="V41" s="482">
        <f t="shared" si="10"/>
        <v>327.06</v>
      </c>
      <c r="W41" s="607">
        <f t="shared" si="11"/>
        <v>39.31</v>
      </c>
      <c r="X41" s="605"/>
      <c r="Y41" s="605"/>
      <c r="Z41" s="605"/>
      <c r="AA41" s="605"/>
      <c r="AB41" s="605"/>
      <c r="AC41" s="605"/>
    </row>
    <row r="42" spans="1:29" s="388" customFormat="1" ht="10.5">
      <c r="A42" s="481">
        <v>40422</v>
      </c>
      <c r="B42" s="430">
        <f>40*1.6</f>
        <v>64</v>
      </c>
      <c r="C42" s="430">
        <f>23.32*2</f>
        <v>46.64</v>
      </c>
      <c r="D42" s="430">
        <f>5*1.6</f>
        <v>8</v>
      </c>
      <c r="E42" s="482">
        <f>'01'!B42</f>
        <v>8.32</v>
      </c>
      <c r="F42" s="482">
        <f t="shared" si="0"/>
        <v>532.48</v>
      </c>
      <c r="G42" s="482">
        <f t="shared" si="1"/>
        <v>388.04</v>
      </c>
      <c r="H42" s="482">
        <f t="shared" si="2"/>
        <v>66.56</v>
      </c>
      <c r="I42" s="482">
        <f t="shared" si="3"/>
        <v>987.08</v>
      </c>
      <c r="J42" s="482">
        <f>479.23+848.64</f>
        <v>1327.87</v>
      </c>
      <c r="K42" s="482">
        <v>0</v>
      </c>
      <c r="L42" s="483">
        <f t="shared" si="4"/>
        <v>0</v>
      </c>
      <c r="M42" s="483">
        <f t="shared" si="5"/>
        <v>0</v>
      </c>
      <c r="N42" s="484">
        <f>Corr!G56</f>
        <v>1.0279611</v>
      </c>
      <c r="O42" s="483">
        <f t="shared" si="6"/>
        <v>0</v>
      </c>
      <c r="P42" s="432">
        <v>35.03</v>
      </c>
      <c r="Q42" s="483">
        <f t="shared" si="7"/>
        <v>0</v>
      </c>
      <c r="R42" s="483">
        <f t="shared" si="8"/>
        <v>0</v>
      </c>
      <c r="T42" s="485">
        <f t="shared" si="9"/>
        <v>0</v>
      </c>
      <c r="V42" s="482">
        <f t="shared" si="10"/>
        <v>0</v>
      </c>
      <c r="W42" s="607">
        <f t="shared" si="11"/>
        <v>0</v>
      </c>
      <c r="X42" s="605"/>
      <c r="Y42" s="605"/>
      <c r="Z42" s="605"/>
      <c r="AA42" s="605"/>
      <c r="AB42" s="605"/>
      <c r="AC42" s="605"/>
    </row>
    <row r="43" spans="1:29" s="388" customFormat="1" ht="10.5">
      <c r="A43" s="481">
        <v>40452</v>
      </c>
      <c r="B43" s="430">
        <f>28.75*1.6</f>
        <v>46</v>
      </c>
      <c r="C43" s="430">
        <f>13.5*2</f>
        <v>27</v>
      </c>
      <c r="D43" s="430">
        <f>1.5*1.6</f>
        <v>2.4</v>
      </c>
      <c r="E43" s="482">
        <f>'01'!B43</f>
        <v>8.32</v>
      </c>
      <c r="F43" s="482">
        <f t="shared" si="0"/>
        <v>382.72</v>
      </c>
      <c r="G43" s="482">
        <f t="shared" si="1"/>
        <v>224.64</v>
      </c>
      <c r="H43" s="482">
        <f t="shared" si="2"/>
        <v>19.97</v>
      </c>
      <c r="I43" s="482">
        <f t="shared" si="3"/>
        <v>627.33</v>
      </c>
      <c r="J43" s="482">
        <f>419.33+549.12</f>
        <v>968.45</v>
      </c>
      <c r="K43" s="482">
        <v>0</v>
      </c>
      <c r="L43" s="483">
        <f t="shared" si="4"/>
        <v>0</v>
      </c>
      <c r="M43" s="483">
        <f t="shared" si="5"/>
        <v>0</v>
      </c>
      <c r="N43" s="484">
        <f>Corr!G57</f>
        <v>1.02747613</v>
      </c>
      <c r="O43" s="483">
        <f t="shared" si="6"/>
        <v>0</v>
      </c>
      <c r="P43" s="432">
        <v>35.03</v>
      </c>
      <c r="Q43" s="483">
        <f t="shared" si="7"/>
        <v>0</v>
      </c>
      <c r="R43" s="483">
        <f t="shared" si="8"/>
        <v>0</v>
      </c>
      <c r="T43" s="485">
        <f t="shared" si="9"/>
        <v>0</v>
      </c>
      <c r="V43" s="482">
        <f t="shared" si="10"/>
        <v>0</v>
      </c>
      <c r="W43" s="607">
        <f t="shared" si="11"/>
        <v>0</v>
      </c>
      <c r="X43" s="605"/>
      <c r="Y43" s="605"/>
      <c r="Z43" s="605"/>
      <c r="AA43" s="605"/>
      <c r="AB43" s="605"/>
      <c r="AC43" s="605"/>
    </row>
    <row r="44" spans="1:29" s="388" customFormat="1" ht="10.5">
      <c r="A44" s="481">
        <v>40483</v>
      </c>
      <c r="B44" s="430">
        <f>25*1.6</f>
        <v>40</v>
      </c>
      <c r="C44" s="430">
        <f>15.5*2</f>
        <v>31</v>
      </c>
      <c r="D44" s="430">
        <v>0</v>
      </c>
      <c r="E44" s="482">
        <f>'01'!B44</f>
        <v>8.32</v>
      </c>
      <c r="F44" s="482">
        <f t="shared" si="0"/>
        <v>332.8</v>
      </c>
      <c r="G44" s="482">
        <f t="shared" si="1"/>
        <v>257.92</v>
      </c>
      <c r="H44" s="482">
        <f t="shared" si="2"/>
        <v>0</v>
      </c>
      <c r="I44" s="482">
        <f t="shared" si="3"/>
        <v>590.72</v>
      </c>
      <c r="J44" s="482">
        <f>332.8+266.24</f>
        <v>599.04</v>
      </c>
      <c r="K44" s="482">
        <v>0</v>
      </c>
      <c r="L44" s="483">
        <f t="shared" si="4"/>
        <v>0</v>
      </c>
      <c r="M44" s="483">
        <f t="shared" si="5"/>
        <v>0</v>
      </c>
      <c r="N44" s="484">
        <f>Corr!G58</f>
        <v>1.02713102</v>
      </c>
      <c r="O44" s="483">
        <f t="shared" si="6"/>
        <v>0</v>
      </c>
      <c r="P44" s="432">
        <v>35.03</v>
      </c>
      <c r="Q44" s="483">
        <f t="shared" si="7"/>
        <v>0</v>
      </c>
      <c r="R44" s="483">
        <f t="shared" si="8"/>
        <v>0</v>
      </c>
      <c r="T44" s="485">
        <f t="shared" si="9"/>
        <v>0</v>
      </c>
      <c r="V44" s="482">
        <f t="shared" si="10"/>
        <v>0</v>
      </c>
      <c r="W44" s="607">
        <f t="shared" si="11"/>
        <v>0</v>
      </c>
      <c r="X44" s="605"/>
      <c r="Y44" s="605"/>
      <c r="Z44" s="605"/>
      <c r="AA44" s="605"/>
      <c r="AB44" s="605"/>
      <c r="AC44" s="605"/>
    </row>
    <row r="45" spans="1:29" s="388" customFormat="1" ht="10.5">
      <c r="A45" s="481">
        <v>40513</v>
      </c>
      <c r="B45" s="430">
        <f>40.57*1.6</f>
        <v>64.91</v>
      </c>
      <c r="C45" s="430">
        <f>7.88*2</f>
        <v>15.76</v>
      </c>
      <c r="D45" s="430">
        <v>0</v>
      </c>
      <c r="E45" s="482">
        <f>'01'!B45</f>
        <v>8.32</v>
      </c>
      <c r="F45" s="482">
        <f t="shared" si="0"/>
        <v>540.05</v>
      </c>
      <c r="G45" s="482">
        <f t="shared" si="1"/>
        <v>131.12</v>
      </c>
      <c r="H45" s="482">
        <f t="shared" si="2"/>
        <v>0</v>
      </c>
      <c r="I45" s="482">
        <f t="shared" si="3"/>
        <v>671.17</v>
      </c>
      <c r="J45" s="482">
        <f>252.93</f>
        <v>252.93</v>
      </c>
      <c r="K45" s="482">
        <f t="shared" si="12"/>
        <v>418.24</v>
      </c>
      <c r="L45" s="483">
        <f t="shared" si="4"/>
        <v>46.84</v>
      </c>
      <c r="M45" s="483">
        <f t="shared" si="5"/>
        <v>465.08</v>
      </c>
      <c r="N45" s="484">
        <f>Corr!H47</f>
        <v>1.0256889</v>
      </c>
      <c r="O45" s="483">
        <f t="shared" si="6"/>
        <v>477.03</v>
      </c>
      <c r="P45" s="432">
        <v>35.03</v>
      </c>
      <c r="Q45" s="483">
        <f t="shared" si="7"/>
        <v>167.1</v>
      </c>
      <c r="R45" s="483">
        <f t="shared" si="8"/>
        <v>644.13</v>
      </c>
      <c r="T45" s="485">
        <f t="shared" si="9"/>
        <v>48.04</v>
      </c>
      <c r="V45" s="482">
        <f t="shared" si="10"/>
        <v>418.24</v>
      </c>
      <c r="W45" s="607">
        <f t="shared" si="11"/>
        <v>50.27</v>
      </c>
      <c r="X45" s="605"/>
      <c r="Y45" s="605"/>
      <c r="Z45" s="605"/>
      <c r="AA45" s="605"/>
      <c r="AB45" s="605"/>
      <c r="AC45" s="605"/>
    </row>
    <row r="46" spans="1:29" s="388" customFormat="1" ht="10.5">
      <c r="A46" s="481">
        <v>40544</v>
      </c>
      <c r="B46" s="430">
        <f>48.5*1.6</f>
        <v>77.6</v>
      </c>
      <c r="C46" s="430">
        <f>19.04*2</f>
        <v>38.08</v>
      </c>
      <c r="D46" s="430">
        <v>0</v>
      </c>
      <c r="E46" s="482">
        <f>'01'!B46</f>
        <v>8.32</v>
      </c>
      <c r="F46" s="482">
        <f t="shared" si="0"/>
        <v>645.63</v>
      </c>
      <c r="G46" s="482">
        <f t="shared" si="1"/>
        <v>316.83</v>
      </c>
      <c r="H46" s="482">
        <f t="shared" si="2"/>
        <v>0</v>
      </c>
      <c r="I46" s="482">
        <f t="shared" si="3"/>
        <v>962.46</v>
      </c>
      <c r="J46" s="482">
        <v>0</v>
      </c>
      <c r="K46" s="482">
        <f t="shared" si="12"/>
        <v>962.46</v>
      </c>
      <c r="L46" s="483">
        <f t="shared" si="4"/>
        <v>107.8</v>
      </c>
      <c r="M46" s="483">
        <f t="shared" si="5"/>
        <v>1070.26</v>
      </c>
      <c r="N46" s="484">
        <f>Corr!H48</f>
        <v>1.02495606</v>
      </c>
      <c r="O46" s="483">
        <f t="shared" si="6"/>
        <v>1096.97</v>
      </c>
      <c r="P46" s="432">
        <v>35.03</v>
      </c>
      <c r="Q46" s="483">
        <f t="shared" si="7"/>
        <v>384.27</v>
      </c>
      <c r="R46" s="483">
        <f t="shared" si="8"/>
        <v>1481.24</v>
      </c>
      <c r="T46" s="485">
        <f t="shared" si="9"/>
        <v>110.49</v>
      </c>
      <c r="V46" s="482">
        <f t="shared" si="10"/>
        <v>962.46</v>
      </c>
      <c r="W46" s="607">
        <f t="shared" si="11"/>
        <v>115.68</v>
      </c>
      <c r="X46" s="605"/>
      <c r="Y46" s="605"/>
      <c r="Z46" s="605"/>
      <c r="AA46" s="605"/>
      <c r="AB46" s="605"/>
      <c r="AC46" s="605"/>
    </row>
    <row r="47" spans="1:29" s="388" customFormat="1" ht="10.5">
      <c r="A47" s="481">
        <v>40575</v>
      </c>
      <c r="B47" s="430">
        <f>30.18*1.6</f>
        <v>48.29</v>
      </c>
      <c r="C47" s="430">
        <v>0</v>
      </c>
      <c r="D47" s="430">
        <v>0</v>
      </c>
      <c r="E47" s="482">
        <f>'01'!B47</f>
        <v>8.32</v>
      </c>
      <c r="F47" s="482">
        <f t="shared" si="0"/>
        <v>401.77</v>
      </c>
      <c r="G47" s="482">
        <f t="shared" si="1"/>
        <v>0</v>
      </c>
      <c r="H47" s="482">
        <f t="shared" si="2"/>
        <v>0</v>
      </c>
      <c r="I47" s="482">
        <f t="shared" si="3"/>
        <v>401.77</v>
      </c>
      <c r="J47" s="482">
        <f>59.9</f>
        <v>59.9</v>
      </c>
      <c r="K47" s="482">
        <f t="shared" si="12"/>
        <v>341.87</v>
      </c>
      <c r="L47" s="483">
        <f t="shared" si="4"/>
        <v>38.29</v>
      </c>
      <c r="M47" s="483">
        <f t="shared" si="5"/>
        <v>380.16</v>
      </c>
      <c r="N47" s="484">
        <f>Corr!H49</f>
        <v>1.02441926</v>
      </c>
      <c r="O47" s="483">
        <f t="shared" si="6"/>
        <v>389.44</v>
      </c>
      <c r="P47" s="432">
        <v>35.03</v>
      </c>
      <c r="Q47" s="483">
        <f t="shared" si="7"/>
        <v>136.42</v>
      </c>
      <c r="R47" s="483">
        <f t="shared" si="8"/>
        <v>525.86</v>
      </c>
      <c r="T47" s="485">
        <f t="shared" si="9"/>
        <v>39.23</v>
      </c>
      <c r="V47" s="482">
        <f t="shared" si="10"/>
        <v>341.87</v>
      </c>
      <c r="W47" s="607">
        <f t="shared" si="11"/>
        <v>41.09</v>
      </c>
      <c r="X47" s="605"/>
      <c r="Y47" s="605"/>
      <c r="Z47" s="605"/>
      <c r="AA47" s="605"/>
      <c r="AB47" s="605"/>
      <c r="AC47" s="605"/>
    </row>
    <row r="48" spans="1:29" s="388" customFormat="1" ht="10.5">
      <c r="A48" s="481">
        <v>40603</v>
      </c>
      <c r="B48" s="430">
        <f>20.23*1.6</f>
        <v>32.37</v>
      </c>
      <c r="C48" s="430">
        <v>0</v>
      </c>
      <c r="D48" s="430">
        <v>0</v>
      </c>
      <c r="E48" s="482">
        <f>'01'!B48</f>
        <v>8.32</v>
      </c>
      <c r="F48" s="482">
        <f t="shared" si="0"/>
        <v>269.32</v>
      </c>
      <c r="G48" s="482">
        <f t="shared" si="1"/>
        <v>0</v>
      </c>
      <c r="H48" s="482">
        <f t="shared" si="2"/>
        <v>0</v>
      </c>
      <c r="I48" s="482">
        <f t="shared" si="3"/>
        <v>269.32</v>
      </c>
      <c r="J48" s="482">
        <f>66.56</f>
        <v>66.56</v>
      </c>
      <c r="K48" s="482">
        <f t="shared" si="12"/>
        <v>202.76</v>
      </c>
      <c r="L48" s="483">
        <f t="shared" si="4"/>
        <v>22.71</v>
      </c>
      <c r="M48" s="483">
        <f t="shared" si="5"/>
        <v>225.47</v>
      </c>
      <c r="N48" s="484">
        <f>Corr!H50</f>
        <v>1.02317917</v>
      </c>
      <c r="O48" s="483">
        <f t="shared" si="6"/>
        <v>230.7</v>
      </c>
      <c r="P48" s="432">
        <v>35.03</v>
      </c>
      <c r="Q48" s="483">
        <f t="shared" si="7"/>
        <v>80.81</v>
      </c>
      <c r="R48" s="483">
        <f t="shared" si="8"/>
        <v>311.51</v>
      </c>
      <c r="T48" s="485">
        <f t="shared" si="9"/>
        <v>23.24</v>
      </c>
      <c r="V48" s="482">
        <f t="shared" si="10"/>
        <v>202.76</v>
      </c>
      <c r="W48" s="607">
        <f t="shared" si="11"/>
        <v>24.37</v>
      </c>
      <c r="X48" s="605"/>
      <c r="Y48" s="605"/>
      <c r="Z48" s="605"/>
      <c r="AA48" s="605"/>
      <c r="AB48" s="605"/>
      <c r="AC48" s="605"/>
    </row>
    <row r="49" spans="1:29" s="388" customFormat="1" ht="10.5">
      <c r="A49" s="481">
        <v>40634</v>
      </c>
      <c r="B49" s="430">
        <f>14.69*1.6</f>
        <v>23.5</v>
      </c>
      <c r="C49" s="430">
        <v>0</v>
      </c>
      <c r="D49" s="430">
        <v>0</v>
      </c>
      <c r="E49" s="482">
        <f>'01'!B49</f>
        <v>8.32</v>
      </c>
      <c r="F49" s="482">
        <f t="shared" si="0"/>
        <v>195.52</v>
      </c>
      <c r="G49" s="482">
        <f t="shared" si="1"/>
        <v>0</v>
      </c>
      <c r="H49" s="482">
        <f t="shared" si="2"/>
        <v>0</v>
      </c>
      <c r="I49" s="482">
        <f t="shared" si="3"/>
        <v>195.52</v>
      </c>
      <c r="J49" s="482">
        <v>0</v>
      </c>
      <c r="K49" s="482">
        <f t="shared" si="12"/>
        <v>195.52</v>
      </c>
      <c r="L49" s="483">
        <f t="shared" si="4"/>
        <v>21.9</v>
      </c>
      <c r="M49" s="483">
        <f t="shared" si="5"/>
        <v>217.42</v>
      </c>
      <c r="N49" s="484">
        <f>Corr!H51</f>
        <v>1.02280175</v>
      </c>
      <c r="O49" s="483">
        <f t="shared" si="6"/>
        <v>222.38</v>
      </c>
      <c r="P49" s="432">
        <v>35.03</v>
      </c>
      <c r="Q49" s="483">
        <f t="shared" si="7"/>
        <v>77.9</v>
      </c>
      <c r="R49" s="483">
        <f t="shared" si="8"/>
        <v>300.28</v>
      </c>
      <c r="T49" s="485">
        <f t="shared" si="9"/>
        <v>22.4</v>
      </c>
      <c r="V49" s="482">
        <f t="shared" si="10"/>
        <v>195.52</v>
      </c>
      <c r="W49" s="607">
        <f t="shared" si="11"/>
        <v>23.5</v>
      </c>
      <c r="X49" s="605"/>
      <c r="Y49" s="605"/>
      <c r="Z49" s="605"/>
      <c r="AA49" s="605"/>
      <c r="AB49" s="605"/>
      <c r="AC49" s="605"/>
    </row>
    <row r="50" spans="1:29" s="388" customFormat="1" ht="10.5">
      <c r="A50" s="481">
        <v>40664</v>
      </c>
      <c r="B50" s="430">
        <f>3*1.6</f>
        <v>4.8</v>
      </c>
      <c r="C50" s="430">
        <v>0</v>
      </c>
      <c r="D50" s="430">
        <v>0</v>
      </c>
      <c r="E50" s="482">
        <f>'01'!B50</f>
        <v>9.13</v>
      </c>
      <c r="F50" s="482">
        <f t="shared" si="0"/>
        <v>43.82</v>
      </c>
      <c r="G50" s="482">
        <f t="shared" si="1"/>
        <v>0</v>
      </c>
      <c r="H50" s="482">
        <f t="shared" si="2"/>
        <v>0</v>
      </c>
      <c r="I50" s="482">
        <f t="shared" si="3"/>
        <v>43.82</v>
      </c>
      <c r="J50" s="482">
        <v>0</v>
      </c>
      <c r="K50" s="482">
        <f t="shared" si="12"/>
        <v>43.82</v>
      </c>
      <c r="L50" s="483">
        <f t="shared" si="4"/>
        <v>4.91</v>
      </c>
      <c r="M50" s="483">
        <f t="shared" si="5"/>
        <v>48.73</v>
      </c>
      <c r="N50" s="484">
        <f>Corr!H52</f>
        <v>1.02119847</v>
      </c>
      <c r="O50" s="483">
        <f t="shared" si="6"/>
        <v>49.76</v>
      </c>
      <c r="P50" s="432">
        <v>35.03</v>
      </c>
      <c r="Q50" s="483">
        <f t="shared" si="7"/>
        <v>17.43</v>
      </c>
      <c r="R50" s="483">
        <f t="shared" si="8"/>
        <v>67.19</v>
      </c>
      <c r="T50" s="485">
        <f t="shared" si="9"/>
        <v>5.01</v>
      </c>
      <c r="V50" s="482">
        <f t="shared" si="10"/>
        <v>43.82</v>
      </c>
      <c r="W50" s="607">
        <f t="shared" si="11"/>
        <v>4.8</v>
      </c>
      <c r="X50" s="605"/>
      <c r="Y50" s="605"/>
      <c r="Z50" s="605"/>
      <c r="AA50" s="605"/>
      <c r="AB50" s="605"/>
      <c r="AC50" s="605"/>
    </row>
    <row r="51" spans="1:29" s="388" customFormat="1" ht="10.5">
      <c r="A51" s="481">
        <v>40695</v>
      </c>
      <c r="B51" s="430">
        <v>0</v>
      </c>
      <c r="C51" s="430">
        <v>0</v>
      </c>
      <c r="D51" s="430">
        <v>0</v>
      </c>
      <c r="E51" s="482">
        <f>'01'!B51</f>
        <v>9.13</v>
      </c>
      <c r="F51" s="482">
        <f t="shared" si="0"/>
        <v>0</v>
      </c>
      <c r="G51" s="482">
        <f t="shared" si="1"/>
        <v>0</v>
      </c>
      <c r="H51" s="482">
        <f t="shared" si="2"/>
        <v>0</v>
      </c>
      <c r="I51" s="482">
        <f t="shared" si="3"/>
        <v>0</v>
      </c>
      <c r="J51" s="482">
        <v>0</v>
      </c>
      <c r="K51" s="482">
        <f t="shared" si="12"/>
        <v>0</v>
      </c>
      <c r="L51" s="483">
        <f t="shared" si="4"/>
        <v>0</v>
      </c>
      <c r="M51" s="483">
        <f t="shared" si="5"/>
        <v>0</v>
      </c>
      <c r="N51" s="484">
        <f>Corr!H53</f>
        <v>1.02006212</v>
      </c>
      <c r="O51" s="483">
        <f t="shared" si="6"/>
        <v>0</v>
      </c>
      <c r="P51" s="432">
        <v>35.03</v>
      </c>
      <c r="Q51" s="483">
        <f t="shared" si="7"/>
        <v>0</v>
      </c>
      <c r="R51" s="483">
        <f t="shared" si="8"/>
        <v>0</v>
      </c>
      <c r="T51" s="485">
        <f t="shared" si="9"/>
        <v>0</v>
      </c>
      <c r="V51" s="482">
        <f t="shared" si="10"/>
        <v>0</v>
      </c>
      <c r="W51" s="607">
        <f t="shared" si="11"/>
        <v>0</v>
      </c>
      <c r="X51" s="605"/>
      <c r="Y51" s="605"/>
      <c r="Z51" s="605"/>
      <c r="AA51" s="605"/>
      <c r="AB51" s="605"/>
      <c r="AC51" s="605"/>
    </row>
    <row r="52" spans="1:29" s="388" customFormat="1" ht="10.5">
      <c r="A52" s="481">
        <v>40725</v>
      </c>
      <c r="B52" s="430">
        <v>0</v>
      </c>
      <c r="C52" s="430">
        <v>0</v>
      </c>
      <c r="D52" s="430">
        <v>0</v>
      </c>
      <c r="E52" s="482">
        <f>'01'!B52</f>
        <v>9.13</v>
      </c>
      <c r="F52" s="482">
        <f t="shared" si="0"/>
        <v>0</v>
      </c>
      <c r="G52" s="482">
        <f t="shared" si="1"/>
        <v>0</v>
      </c>
      <c r="H52" s="482">
        <f t="shared" si="2"/>
        <v>0</v>
      </c>
      <c r="I52" s="482">
        <f t="shared" si="3"/>
        <v>0</v>
      </c>
      <c r="J52" s="482">
        <v>0</v>
      </c>
      <c r="K52" s="482">
        <f t="shared" si="12"/>
        <v>0</v>
      </c>
      <c r="L52" s="483">
        <f t="shared" si="4"/>
        <v>0</v>
      </c>
      <c r="M52" s="483">
        <f t="shared" si="5"/>
        <v>0</v>
      </c>
      <c r="N52" s="484">
        <f>Corr!H54</f>
        <v>1.01881001</v>
      </c>
      <c r="O52" s="483">
        <f t="shared" si="6"/>
        <v>0</v>
      </c>
      <c r="P52" s="432">
        <v>35.03</v>
      </c>
      <c r="Q52" s="483">
        <f t="shared" si="7"/>
        <v>0</v>
      </c>
      <c r="R52" s="483">
        <f t="shared" si="8"/>
        <v>0</v>
      </c>
      <c r="T52" s="485">
        <f t="shared" si="9"/>
        <v>0</v>
      </c>
      <c r="V52" s="482">
        <f t="shared" si="10"/>
        <v>0</v>
      </c>
      <c r="W52" s="607">
        <f t="shared" si="11"/>
        <v>0</v>
      </c>
      <c r="X52" s="605"/>
      <c r="Y52" s="605"/>
      <c r="Z52" s="605"/>
      <c r="AA52" s="605"/>
      <c r="AB52" s="605"/>
      <c r="AC52" s="605"/>
    </row>
    <row r="53" spans="1:29" s="388" customFormat="1" ht="10.5">
      <c r="A53" s="481">
        <v>40756</v>
      </c>
      <c r="B53" s="430">
        <v>0</v>
      </c>
      <c r="C53" s="430">
        <v>0</v>
      </c>
      <c r="D53" s="430">
        <v>0</v>
      </c>
      <c r="E53" s="482">
        <f>'01'!B53</f>
        <v>9.13</v>
      </c>
      <c r="F53" s="482">
        <f t="shared" si="0"/>
        <v>0</v>
      </c>
      <c r="G53" s="482">
        <f t="shared" si="1"/>
        <v>0</v>
      </c>
      <c r="H53" s="482">
        <f t="shared" si="2"/>
        <v>0</v>
      </c>
      <c r="I53" s="482">
        <f t="shared" si="3"/>
        <v>0</v>
      </c>
      <c r="J53" s="482">
        <v>0</v>
      </c>
      <c r="K53" s="482">
        <f t="shared" si="12"/>
        <v>0</v>
      </c>
      <c r="L53" s="483">
        <f t="shared" si="4"/>
        <v>0</v>
      </c>
      <c r="M53" s="483">
        <f t="shared" si="5"/>
        <v>0</v>
      </c>
      <c r="N53" s="484">
        <f>Corr!H55</f>
        <v>1.01669934</v>
      </c>
      <c r="O53" s="483">
        <f t="shared" si="6"/>
        <v>0</v>
      </c>
      <c r="P53" s="432">
        <v>35.03</v>
      </c>
      <c r="Q53" s="483">
        <f t="shared" si="7"/>
        <v>0</v>
      </c>
      <c r="R53" s="483">
        <f t="shared" si="8"/>
        <v>0</v>
      </c>
      <c r="T53" s="485">
        <f t="shared" si="9"/>
        <v>0</v>
      </c>
      <c r="V53" s="482">
        <f t="shared" si="10"/>
        <v>0</v>
      </c>
      <c r="W53" s="607">
        <f t="shared" si="11"/>
        <v>0</v>
      </c>
      <c r="X53" s="605"/>
      <c r="Y53" s="605"/>
      <c r="Z53" s="605"/>
      <c r="AA53" s="605"/>
      <c r="AB53" s="605"/>
      <c r="AC53" s="605"/>
    </row>
    <row r="54" spans="14:29" s="388" customFormat="1" ht="10.5">
      <c r="N54"/>
      <c r="X54" s="399"/>
      <c r="Y54" s="399"/>
      <c r="Z54" s="399"/>
      <c r="AA54" s="399"/>
      <c r="AB54" s="399"/>
      <c r="AC54" s="399"/>
    </row>
    <row r="55" spans="1:29" s="585" customFormat="1" ht="10.5">
      <c r="A55" s="584"/>
      <c r="B55" s="584"/>
      <c r="C55" s="584"/>
      <c r="D55" s="584"/>
      <c r="E55" s="584"/>
      <c r="F55" s="486">
        <f aca="true" t="shared" si="13" ref="F55:M55">SUM(F22:F53)</f>
        <v>10254.6</v>
      </c>
      <c r="G55" s="486">
        <f t="shared" si="13"/>
        <v>2979.61</v>
      </c>
      <c r="H55" s="486">
        <f t="shared" si="13"/>
        <v>349.14</v>
      </c>
      <c r="I55" s="486">
        <f t="shared" si="13"/>
        <v>13583.35</v>
      </c>
      <c r="J55" s="486"/>
      <c r="K55" s="486">
        <f t="shared" si="13"/>
        <v>3117.02</v>
      </c>
      <c r="L55" s="486">
        <f t="shared" si="13"/>
        <v>349.11</v>
      </c>
      <c r="M55" s="486">
        <f t="shared" si="13"/>
        <v>3466.13</v>
      </c>
      <c r="N55" s="584"/>
      <c r="O55" s="486">
        <f>SUM(O22:O53)</f>
        <v>3558.66</v>
      </c>
      <c r="P55" s="488"/>
      <c r="Q55" s="486">
        <f>SUM(Q22:Q53)</f>
        <v>1246.59</v>
      </c>
      <c r="R55" s="486">
        <f>SUM(R22:R53)</f>
        <v>4805.25</v>
      </c>
      <c r="T55" s="486">
        <f>SUM(T22:T53)</f>
        <v>358.44</v>
      </c>
      <c r="V55" s="486"/>
      <c r="W55" s="486"/>
      <c r="X55" s="584"/>
      <c r="Y55" s="584"/>
      <c r="Z55" s="584"/>
      <c r="AA55" s="584"/>
      <c r="AB55" s="584"/>
      <c r="AC55" s="584"/>
    </row>
    <row r="56" spans="1:29" s="1" customFormat="1" ht="11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V56"/>
      <c r="W56"/>
      <c r="X56" s="360"/>
      <c r="Y56" s="360"/>
      <c r="Z56" s="360"/>
      <c r="AA56" s="360"/>
      <c r="AB56" s="360"/>
      <c r="AC56" s="360"/>
    </row>
    <row r="57" spans="13:29" s="490" customFormat="1" ht="11.25" customHeight="1">
      <c r="M57" s="491"/>
      <c r="X57" s="606"/>
      <c r="Y57" s="606"/>
      <c r="Z57" s="606"/>
      <c r="AA57" s="606"/>
      <c r="AB57" s="606"/>
      <c r="AC57" s="606"/>
    </row>
    <row r="58" spans="11:29" ht="10.5">
      <c r="K58" s="132"/>
      <c r="L58" s="132" t="s">
        <v>457</v>
      </c>
      <c r="X58" s="360"/>
      <c r="Y58" s="360"/>
      <c r="Z58" s="360"/>
      <c r="AA58" s="360"/>
      <c r="AB58" s="360"/>
      <c r="AC58" s="360"/>
    </row>
    <row r="59" spans="11:29" ht="12.75">
      <c r="K59" s="613" t="s">
        <v>458</v>
      </c>
      <c r="L59" s="132"/>
      <c r="X59" s="360"/>
      <c r="Y59" s="360"/>
      <c r="Z59" s="360"/>
      <c r="AA59" s="360"/>
      <c r="AB59" s="360"/>
      <c r="AC59" s="360"/>
    </row>
    <row r="60" spans="24:29" ht="10.5">
      <c r="X60" s="360"/>
      <c r="Y60" s="360"/>
      <c r="Z60" s="360"/>
      <c r="AA60" s="360"/>
      <c r="AB60" s="360"/>
      <c r="AC60" s="360"/>
    </row>
    <row r="61" spans="24:29" ht="10.5">
      <c r="X61" s="360"/>
      <c r="Y61" s="360"/>
      <c r="Z61" s="360"/>
      <c r="AA61" s="360"/>
      <c r="AB61" s="360"/>
      <c r="AC61" s="360"/>
    </row>
    <row r="62" spans="24:29" ht="10.5">
      <c r="X62" s="360"/>
      <c r="Y62" s="360"/>
      <c r="Z62" s="360"/>
      <c r="AA62" s="360"/>
      <c r="AB62" s="360"/>
      <c r="AC62" s="360"/>
    </row>
    <row r="63" spans="24:29" ht="10.5">
      <c r="X63" s="360"/>
      <c r="Y63" s="360"/>
      <c r="Z63" s="360"/>
      <c r="AA63" s="360"/>
      <c r="AB63" s="360"/>
      <c r="AC63" s="360"/>
    </row>
    <row r="64" spans="24:29" ht="10.5">
      <c r="X64" s="360"/>
      <c r="Y64" s="360"/>
      <c r="Z64" s="360"/>
      <c r="AA64" s="360"/>
      <c r="AB64" s="360"/>
      <c r="AC64" s="360"/>
    </row>
    <row r="65" spans="24:29" ht="10.5">
      <c r="X65" s="360"/>
      <c r="Y65" s="360"/>
      <c r="Z65" s="360"/>
      <c r="AA65" s="360"/>
      <c r="AB65" s="360"/>
      <c r="AC65" s="360"/>
    </row>
    <row r="66" spans="24:29" ht="10.5">
      <c r="X66" s="360"/>
      <c r="Y66" s="360"/>
      <c r="Z66" s="360"/>
      <c r="AA66" s="360"/>
      <c r="AB66" s="360"/>
      <c r="AC66" s="360"/>
    </row>
    <row r="67" spans="24:29" ht="10.5">
      <c r="X67" s="360"/>
      <c r="Y67" s="360"/>
      <c r="Z67" s="360"/>
      <c r="AA67" s="360"/>
      <c r="AB67" s="360"/>
      <c r="AC67" s="360"/>
    </row>
    <row r="68" spans="24:29" ht="10.5">
      <c r="X68" s="360"/>
      <c r="Y68" s="360"/>
      <c r="Z68" s="360"/>
      <c r="AA68" s="360"/>
      <c r="AB68" s="360"/>
      <c r="AC68" s="360"/>
    </row>
    <row r="69" spans="24:29" ht="10.5">
      <c r="X69" s="360"/>
      <c r="Y69" s="360"/>
      <c r="Z69" s="360"/>
      <c r="AA69" s="360"/>
      <c r="AB69" s="360"/>
      <c r="AC69" s="360"/>
    </row>
    <row r="70" spans="24:29" ht="10.5">
      <c r="X70" s="360"/>
      <c r="Y70" s="360"/>
      <c r="Z70" s="360"/>
      <c r="AA70" s="360"/>
      <c r="AB70" s="360"/>
      <c r="AC70" s="360"/>
    </row>
    <row r="71" spans="24:29" ht="10.5">
      <c r="X71" s="360"/>
      <c r="Y71" s="360"/>
      <c r="Z71" s="360"/>
      <c r="AA71" s="360"/>
      <c r="AB71" s="360"/>
      <c r="AC71" s="360"/>
    </row>
    <row r="72" spans="24:29" ht="10.5">
      <c r="X72" s="360"/>
      <c r="Y72" s="360"/>
      <c r="Z72" s="360"/>
      <c r="AA72" s="360"/>
      <c r="AB72" s="360"/>
      <c r="AC72" s="360"/>
    </row>
    <row r="73" spans="24:29" ht="10.5">
      <c r="X73" s="360"/>
      <c r="Y73" s="360"/>
      <c r="Z73" s="360"/>
      <c r="AA73" s="360"/>
      <c r="AB73" s="360"/>
      <c r="AC73" s="360"/>
    </row>
    <row r="74" spans="24:29" ht="10.5">
      <c r="X74" s="360"/>
      <c r="Y74" s="360"/>
      <c r="Z74" s="360"/>
      <c r="AA74" s="360"/>
      <c r="AB74" s="360"/>
      <c r="AC74" s="360"/>
    </row>
    <row r="75" spans="24:29" ht="10.5">
      <c r="X75" s="360"/>
      <c r="Y75" s="360"/>
      <c r="Z75" s="360"/>
      <c r="AA75" s="360"/>
      <c r="AB75" s="360"/>
      <c r="AC75" s="360"/>
    </row>
    <row r="76" spans="24:29" ht="10.5">
      <c r="X76" s="360"/>
      <c r="Y76" s="360"/>
      <c r="Z76" s="360"/>
      <c r="AA76" s="360"/>
      <c r="AB76" s="360"/>
      <c r="AC76" s="360"/>
    </row>
    <row r="77" spans="24:29" ht="10.5">
      <c r="X77" s="360"/>
      <c r="Y77" s="360"/>
      <c r="Z77" s="360"/>
      <c r="AA77" s="360"/>
      <c r="AB77" s="360"/>
      <c r="AC77" s="360"/>
    </row>
    <row r="78" spans="24:29" ht="10.5">
      <c r="X78" s="360"/>
      <c r="Y78" s="360"/>
      <c r="Z78" s="360"/>
      <c r="AA78" s="360"/>
      <c r="AB78" s="360"/>
      <c r="AC78" s="360"/>
    </row>
    <row r="79" spans="24:29" ht="10.5">
      <c r="X79" s="360"/>
      <c r="Y79" s="360"/>
      <c r="Z79" s="360"/>
      <c r="AA79" s="360"/>
      <c r="AB79" s="360"/>
      <c r="AC79" s="360"/>
    </row>
    <row r="80" spans="24:29" ht="10.5">
      <c r="X80" s="360"/>
      <c r="Y80" s="360"/>
      <c r="Z80" s="360"/>
      <c r="AA80" s="360"/>
      <c r="AB80" s="360"/>
      <c r="AC80" s="360"/>
    </row>
    <row r="81" spans="24:29" ht="10.5">
      <c r="X81" s="360"/>
      <c r="Y81" s="360"/>
      <c r="Z81" s="360"/>
      <c r="AA81" s="360"/>
      <c r="AB81" s="360"/>
      <c r="AC81" s="360"/>
    </row>
    <row r="82" spans="24:29" ht="10.5">
      <c r="X82" s="360"/>
      <c r="Y82" s="360"/>
      <c r="Z82" s="360"/>
      <c r="AA82" s="360"/>
      <c r="AB82" s="360"/>
      <c r="AC82" s="360"/>
    </row>
    <row r="83" spans="24:29" ht="10.5">
      <c r="X83" s="360"/>
      <c r="Y83" s="360"/>
      <c r="Z83" s="360"/>
      <c r="AA83" s="360"/>
      <c r="AB83" s="360"/>
      <c r="AC83" s="360"/>
    </row>
    <row r="84" spans="24:29" ht="10.5">
      <c r="X84" s="360"/>
      <c r="Y84" s="360"/>
      <c r="Z84" s="360"/>
      <c r="AA84" s="360"/>
      <c r="AB84" s="360"/>
      <c r="AC84" s="360"/>
    </row>
    <row r="85" spans="24:29" ht="10.5">
      <c r="X85" s="360"/>
      <c r="Y85" s="360"/>
      <c r="Z85" s="360"/>
      <c r="AA85" s="360"/>
      <c r="AB85" s="360"/>
      <c r="AC85" s="360"/>
    </row>
    <row r="86" spans="24:29" ht="10.5">
      <c r="X86" s="360"/>
      <c r="Y86" s="360"/>
      <c r="Z86" s="360"/>
      <c r="AA86" s="360"/>
      <c r="AB86" s="360"/>
      <c r="AC86" s="360"/>
    </row>
    <row r="87" spans="24:29" ht="10.5">
      <c r="X87" s="360"/>
      <c r="Y87" s="360"/>
      <c r="Z87" s="360"/>
      <c r="AA87" s="360"/>
      <c r="AB87" s="360"/>
      <c r="AC87" s="360"/>
    </row>
    <row r="88" spans="24:29" ht="10.5">
      <c r="X88" s="360"/>
      <c r="Y88" s="360"/>
      <c r="Z88" s="360"/>
      <c r="AA88" s="360"/>
      <c r="AB88" s="360"/>
      <c r="AC88" s="360"/>
    </row>
    <row r="89" spans="24:29" ht="10.5">
      <c r="X89" s="360"/>
      <c r="Y89" s="360"/>
      <c r="Z89" s="360"/>
      <c r="AA89" s="360"/>
      <c r="AB89" s="360"/>
      <c r="AC89" s="360"/>
    </row>
    <row r="90" spans="24:29" ht="10.5">
      <c r="X90" s="360"/>
      <c r="Y90" s="360"/>
      <c r="Z90" s="360"/>
      <c r="AA90" s="360"/>
      <c r="AB90" s="360"/>
      <c r="AC90" s="360"/>
    </row>
    <row r="91" spans="24:29" ht="10.5">
      <c r="X91" s="360"/>
      <c r="Y91" s="360"/>
      <c r="Z91" s="360"/>
      <c r="AA91" s="360"/>
      <c r="AB91" s="360"/>
      <c r="AC91" s="360"/>
    </row>
    <row r="92" spans="24:29" ht="10.5">
      <c r="X92" s="360"/>
      <c r="Y92" s="360"/>
      <c r="Z92" s="360"/>
      <c r="AA92" s="360"/>
      <c r="AB92" s="360"/>
      <c r="AC92" s="360"/>
    </row>
    <row r="93" spans="24:29" ht="10.5">
      <c r="X93" s="360"/>
      <c r="Y93" s="360"/>
      <c r="Z93" s="360"/>
      <c r="AA93" s="360"/>
      <c r="AB93" s="360"/>
      <c r="AC93" s="360"/>
    </row>
    <row r="94" spans="24:29" ht="10.5">
      <c r="X94" s="360"/>
      <c r="Y94" s="360"/>
      <c r="Z94" s="360"/>
      <c r="AA94" s="360"/>
      <c r="AB94" s="360"/>
      <c r="AC94" s="360"/>
    </row>
    <row r="95" spans="24:29" ht="10.5">
      <c r="X95" s="360"/>
      <c r="Y95" s="360"/>
      <c r="Z95" s="360"/>
      <c r="AA95" s="360"/>
      <c r="AB95" s="360"/>
      <c r="AC95" s="360"/>
    </row>
    <row r="96" spans="24:29" ht="10.5">
      <c r="X96" s="360"/>
      <c r="Y96" s="360"/>
      <c r="Z96" s="360"/>
      <c r="AA96" s="360"/>
      <c r="AB96" s="360"/>
      <c r="AC96" s="360"/>
    </row>
    <row r="97" spans="24:29" ht="10.5">
      <c r="X97" s="360"/>
      <c r="Y97" s="360"/>
      <c r="Z97" s="360"/>
      <c r="AA97" s="360"/>
      <c r="AB97" s="360"/>
      <c r="AC97" s="360"/>
    </row>
    <row r="98" spans="24:29" ht="10.5">
      <c r="X98" s="360"/>
      <c r="Y98" s="360"/>
      <c r="Z98" s="360"/>
      <c r="AA98" s="360"/>
      <c r="AB98" s="360"/>
      <c r="AC98" s="360"/>
    </row>
    <row r="99" spans="24:29" ht="10.5">
      <c r="X99" s="360"/>
      <c r="Y99" s="360"/>
      <c r="Z99" s="360"/>
      <c r="AA99" s="360"/>
      <c r="AB99" s="360"/>
      <c r="AC99" s="360"/>
    </row>
    <row r="100" spans="24:29" ht="10.5">
      <c r="X100" s="360"/>
      <c r="Y100" s="360"/>
      <c r="Z100" s="360"/>
      <c r="AA100" s="360"/>
      <c r="AB100" s="360"/>
      <c r="AC100" s="360"/>
    </row>
    <row r="101" spans="24:29" ht="10.5">
      <c r="X101" s="360"/>
      <c r="Y101" s="360"/>
      <c r="Z101" s="360"/>
      <c r="AA101" s="360"/>
      <c r="AB101" s="360"/>
      <c r="AC101" s="360"/>
    </row>
    <row r="102" spans="24:29" ht="10.5">
      <c r="X102" s="360"/>
      <c r="Y102" s="360"/>
      <c r="Z102" s="360"/>
      <c r="AA102" s="360"/>
      <c r="AB102" s="360"/>
      <c r="AC102" s="360"/>
    </row>
    <row r="103" spans="24:29" ht="10.5">
      <c r="X103" s="360"/>
      <c r="Y103" s="360"/>
      <c r="Z103" s="360"/>
      <c r="AA103" s="360"/>
      <c r="AB103" s="360"/>
      <c r="AC103" s="360"/>
    </row>
    <row r="104" spans="24:29" ht="10.5">
      <c r="X104" s="360"/>
      <c r="Y104" s="360"/>
      <c r="Z104" s="360"/>
      <c r="AA104" s="360"/>
      <c r="AB104" s="360"/>
      <c r="AC104" s="360"/>
    </row>
    <row r="105" spans="24:29" ht="10.5">
      <c r="X105" s="360"/>
      <c r="Y105" s="360"/>
      <c r="Z105" s="360"/>
      <c r="AA105" s="360"/>
      <c r="AB105" s="360"/>
      <c r="AC105" s="360"/>
    </row>
    <row r="106" spans="24:29" ht="10.5">
      <c r="X106" s="360"/>
      <c r="Y106" s="360"/>
      <c r="Z106" s="360"/>
      <c r="AA106" s="360"/>
      <c r="AB106" s="360"/>
      <c r="AC106" s="360"/>
    </row>
    <row r="107" spans="24:29" ht="10.5">
      <c r="X107" s="360"/>
      <c r="Y107" s="360"/>
      <c r="Z107" s="360"/>
      <c r="AA107" s="360"/>
      <c r="AB107" s="360"/>
      <c r="AC107" s="360"/>
    </row>
    <row r="108" spans="24:29" ht="10.5">
      <c r="X108" s="360"/>
      <c r="Y108" s="360"/>
      <c r="Z108" s="360"/>
      <c r="AA108" s="360"/>
      <c r="AB108" s="360"/>
      <c r="AC108" s="360"/>
    </row>
    <row r="109" spans="24:29" ht="10.5">
      <c r="X109" s="360"/>
      <c r="Y109" s="360"/>
      <c r="Z109" s="360"/>
      <c r="AA109" s="360"/>
      <c r="AB109" s="360"/>
      <c r="AC109" s="360"/>
    </row>
    <row r="110" spans="24:29" ht="10.5">
      <c r="X110" s="360"/>
      <c r="Y110" s="360"/>
      <c r="Z110" s="360"/>
      <c r="AA110" s="360"/>
      <c r="AB110" s="360"/>
      <c r="AC110" s="360"/>
    </row>
    <row r="111" spans="24:29" ht="10.5">
      <c r="X111" s="360"/>
      <c r="Y111" s="360"/>
      <c r="Z111" s="360"/>
      <c r="AA111" s="360"/>
      <c r="AB111" s="360"/>
      <c r="AC111" s="360"/>
    </row>
    <row r="112" spans="24:29" ht="10.5">
      <c r="X112" s="360"/>
      <c r="Y112" s="360"/>
      <c r="Z112" s="360"/>
      <c r="AA112" s="360"/>
      <c r="AB112" s="360"/>
      <c r="AC112" s="360"/>
    </row>
    <row r="113" spans="24:29" ht="10.5">
      <c r="X113" s="360"/>
      <c r="Y113" s="360"/>
      <c r="Z113" s="360"/>
      <c r="AA113" s="360"/>
      <c r="AB113" s="360"/>
      <c r="AC113" s="360"/>
    </row>
    <row r="114" spans="24:29" ht="10.5">
      <c r="X114" s="360"/>
      <c r="Y114" s="360"/>
      <c r="Z114" s="360"/>
      <c r="AA114" s="360"/>
      <c r="AB114" s="360"/>
      <c r="AC114" s="360"/>
    </row>
    <row r="115" spans="24:29" ht="10.5">
      <c r="X115" s="360"/>
      <c r="Y115" s="360"/>
      <c r="Z115" s="360"/>
      <c r="AA115" s="360"/>
      <c r="AB115" s="360"/>
      <c r="AC115" s="360"/>
    </row>
    <row r="116" spans="24:29" ht="10.5">
      <c r="X116" s="360"/>
      <c r="Y116" s="360"/>
      <c r="Z116" s="360"/>
      <c r="AA116" s="360"/>
      <c r="AB116" s="360"/>
      <c r="AC116" s="360"/>
    </row>
    <row r="117" spans="24:29" ht="10.5">
      <c r="X117" s="360"/>
      <c r="Y117" s="360"/>
      <c r="Z117" s="360"/>
      <c r="AA117" s="360"/>
      <c r="AB117" s="360"/>
      <c r="AC117" s="360"/>
    </row>
    <row r="118" spans="24:29" ht="10.5">
      <c r="X118" s="360"/>
      <c r="Y118" s="360"/>
      <c r="Z118" s="360"/>
      <c r="AA118" s="360"/>
      <c r="AB118" s="360"/>
      <c r="AC118" s="360"/>
    </row>
    <row r="119" spans="24:29" ht="10.5">
      <c r="X119" s="360"/>
      <c r="Y119" s="360"/>
      <c r="Z119" s="360"/>
      <c r="AA119" s="360"/>
      <c r="AB119" s="360"/>
      <c r="AC119" s="360"/>
    </row>
    <row r="120" spans="24:29" ht="10.5">
      <c r="X120" s="360"/>
      <c r="Y120" s="360"/>
      <c r="Z120" s="360"/>
      <c r="AA120" s="360"/>
      <c r="AB120" s="360"/>
      <c r="AC120" s="360"/>
    </row>
    <row r="121" spans="24:29" ht="10.5">
      <c r="X121" s="360"/>
      <c r="Y121" s="360"/>
      <c r="Z121" s="360"/>
      <c r="AA121" s="360"/>
      <c r="AB121" s="360"/>
      <c r="AC121" s="360"/>
    </row>
    <row r="122" spans="24:29" ht="10.5">
      <c r="X122" s="360"/>
      <c r="Y122" s="360"/>
      <c r="Z122" s="360"/>
      <c r="AA122" s="360"/>
      <c r="AB122" s="360"/>
      <c r="AC122" s="360"/>
    </row>
    <row r="123" spans="24:29" ht="10.5">
      <c r="X123" s="360"/>
      <c r="Y123" s="360"/>
      <c r="Z123" s="360"/>
      <c r="AA123" s="360"/>
      <c r="AB123" s="360"/>
      <c r="AC123" s="360"/>
    </row>
    <row r="124" spans="24:29" ht="10.5">
      <c r="X124" s="360"/>
      <c r="Y124" s="360"/>
      <c r="Z124" s="360"/>
      <c r="AA124" s="360"/>
      <c r="AB124" s="360"/>
      <c r="AC124" s="360"/>
    </row>
    <row r="125" spans="24:29" ht="10.5">
      <c r="X125" s="360"/>
      <c r="Y125" s="360"/>
      <c r="Z125" s="360"/>
      <c r="AA125" s="360"/>
      <c r="AB125" s="360"/>
      <c r="AC125" s="360"/>
    </row>
    <row r="126" spans="24:29" ht="10.5">
      <c r="X126" s="360"/>
      <c r="Y126" s="360"/>
      <c r="Z126" s="360"/>
      <c r="AA126" s="360"/>
      <c r="AB126" s="360"/>
      <c r="AC126" s="360"/>
    </row>
    <row r="127" spans="24:29" ht="10.5">
      <c r="X127" s="360"/>
      <c r="Y127" s="360"/>
      <c r="Z127" s="360"/>
      <c r="AA127" s="360"/>
      <c r="AB127" s="360"/>
      <c r="AC127" s="360"/>
    </row>
    <row r="128" spans="24:29" ht="10.5">
      <c r="X128" s="360"/>
      <c r="Y128" s="360"/>
      <c r="Z128" s="360"/>
      <c r="AA128" s="360"/>
      <c r="AB128" s="360"/>
      <c r="AC128" s="360"/>
    </row>
    <row r="129" spans="24:29" ht="10.5">
      <c r="X129" s="360"/>
      <c r="Y129" s="360"/>
      <c r="Z129" s="360"/>
      <c r="AA129" s="360"/>
      <c r="AB129" s="360"/>
      <c r="AC129" s="360"/>
    </row>
    <row r="130" spans="24:29" ht="10.5">
      <c r="X130" s="360"/>
      <c r="Y130" s="360"/>
      <c r="Z130" s="360"/>
      <c r="AA130" s="360"/>
      <c r="AB130" s="360"/>
      <c r="AC130" s="360"/>
    </row>
    <row r="131" spans="24:29" ht="10.5">
      <c r="X131" s="360"/>
      <c r="Y131" s="360"/>
      <c r="Z131" s="360"/>
      <c r="AA131" s="360"/>
      <c r="AB131" s="360"/>
      <c r="AC131" s="360"/>
    </row>
    <row r="132" spans="24:29" ht="10.5">
      <c r="X132" s="360"/>
      <c r="Y132" s="360"/>
      <c r="Z132" s="360"/>
      <c r="AA132" s="360"/>
      <c r="AB132" s="360"/>
      <c r="AC132" s="360"/>
    </row>
    <row r="133" spans="24:29" ht="10.5">
      <c r="X133" s="360"/>
      <c r="Y133" s="360"/>
      <c r="Z133" s="360"/>
      <c r="AA133" s="360"/>
      <c r="AB133" s="360"/>
      <c r="AC133" s="360"/>
    </row>
    <row r="134" spans="24:29" ht="10.5">
      <c r="X134" s="360"/>
      <c r="Y134" s="360"/>
      <c r="Z134" s="360"/>
      <c r="AA134" s="360"/>
      <c r="AB134" s="360"/>
      <c r="AC134" s="360"/>
    </row>
    <row r="135" spans="24:29" ht="10.5">
      <c r="X135" s="360"/>
      <c r="Y135" s="360"/>
      <c r="Z135" s="360"/>
      <c r="AA135" s="360"/>
      <c r="AB135" s="360"/>
      <c r="AC135" s="360"/>
    </row>
    <row r="136" spans="24:29" ht="10.5">
      <c r="X136" s="360"/>
      <c r="Y136" s="360"/>
      <c r="Z136" s="360"/>
      <c r="AA136" s="360"/>
      <c r="AB136" s="360"/>
      <c r="AC136" s="360"/>
    </row>
    <row r="137" spans="24:29" ht="10.5">
      <c r="X137" s="360"/>
      <c r="Y137" s="360"/>
      <c r="Z137" s="360"/>
      <c r="AA137" s="360"/>
      <c r="AB137" s="360"/>
      <c r="AC137" s="360"/>
    </row>
    <row r="138" spans="24:29" ht="10.5">
      <c r="X138" s="360"/>
      <c r="Y138" s="360"/>
      <c r="Z138" s="360"/>
      <c r="AA138" s="360"/>
      <c r="AB138" s="360"/>
      <c r="AC138" s="360"/>
    </row>
    <row r="139" spans="24:29" ht="10.5">
      <c r="X139" s="360"/>
      <c r="Y139" s="360"/>
      <c r="Z139" s="360"/>
      <c r="AA139" s="360"/>
      <c r="AB139" s="360"/>
      <c r="AC139" s="360"/>
    </row>
    <row r="140" spans="24:29" ht="10.5">
      <c r="X140" s="360"/>
      <c r="Y140" s="360"/>
      <c r="Z140" s="360"/>
      <c r="AA140" s="360"/>
      <c r="AB140" s="360"/>
      <c r="AC140" s="360"/>
    </row>
    <row r="141" spans="24:29" ht="10.5">
      <c r="X141" s="360"/>
      <c r="Y141" s="360"/>
      <c r="Z141" s="360"/>
      <c r="AA141" s="360"/>
      <c r="AB141" s="360"/>
      <c r="AC141" s="360"/>
    </row>
    <row r="142" spans="24:29" ht="10.5">
      <c r="X142" s="360"/>
      <c r="Y142" s="360"/>
      <c r="Z142" s="360"/>
      <c r="AA142" s="360"/>
      <c r="AB142" s="360"/>
      <c r="AC142" s="360"/>
    </row>
    <row r="143" spans="24:29" ht="10.5">
      <c r="X143" s="360"/>
      <c r="Y143" s="360"/>
      <c r="Z143" s="360"/>
      <c r="AA143" s="360"/>
      <c r="AB143" s="360"/>
      <c r="AC143" s="360"/>
    </row>
    <row r="144" spans="24:29" ht="10.5">
      <c r="X144" s="360"/>
      <c r="Y144" s="360"/>
      <c r="Z144" s="360"/>
      <c r="AA144" s="360"/>
      <c r="AB144" s="360"/>
      <c r="AC144" s="360"/>
    </row>
    <row r="145" spans="24:29" ht="10.5">
      <c r="X145" s="360"/>
      <c r="Y145" s="360"/>
      <c r="Z145" s="360"/>
      <c r="AA145" s="360"/>
      <c r="AB145" s="360"/>
      <c r="AC145" s="360"/>
    </row>
    <row r="146" spans="24:29" ht="10.5">
      <c r="X146" s="360"/>
      <c r="Y146" s="360"/>
      <c r="Z146" s="360"/>
      <c r="AA146" s="360"/>
      <c r="AB146" s="360"/>
      <c r="AC146" s="360"/>
    </row>
    <row r="147" spans="24:29" ht="10.5">
      <c r="X147" s="360"/>
      <c r="Y147" s="360"/>
      <c r="Z147" s="360"/>
      <c r="AA147" s="360"/>
      <c r="AB147" s="360"/>
      <c r="AC147" s="360"/>
    </row>
    <row r="148" spans="24:29" ht="10.5">
      <c r="X148" s="360"/>
      <c r="Y148" s="360"/>
      <c r="Z148" s="360"/>
      <c r="AA148" s="360"/>
      <c r="AB148" s="360"/>
      <c r="AC148" s="360"/>
    </row>
    <row r="149" spans="24:29" ht="10.5">
      <c r="X149" s="360"/>
      <c r="Y149" s="360"/>
      <c r="Z149" s="360"/>
      <c r="AA149" s="360"/>
      <c r="AB149" s="360"/>
      <c r="AC149" s="360"/>
    </row>
    <row r="150" spans="24:29" ht="10.5">
      <c r="X150" s="360"/>
      <c r="Y150" s="360"/>
      <c r="Z150" s="360"/>
      <c r="AA150" s="360"/>
      <c r="AB150" s="360"/>
      <c r="AC150" s="360"/>
    </row>
    <row r="151" spans="24:29" ht="10.5">
      <c r="X151" s="360"/>
      <c r="Y151" s="360"/>
      <c r="Z151" s="360"/>
      <c r="AA151" s="360"/>
      <c r="AB151" s="360"/>
      <c r="AC151" s="360"/>
    </row>
    <row r="152" spans="24:29" ht="10.5">
      <c r="X152" s="360"/>
      <c r="Y152" s="360"/>
      <c r="Z152" s="360"/>
      <c r="AA152" s="360"/>
      <c r="AB152" s="360"/>
      <c r="AC152" s="360"/>
    </row>
    <row r="153" spans="24:29" ht="10.5">
      <c r="X153" s="360"/>
      <c r="Y153" s="360"/>
      <c r="Z153" s="360"/>
      <c r="AA153" s="360"/>
      <c r="AB153" s="360"/>
      <c r="AC153" s="360"/>
    </row>
    <row r="154" spans="24:29" ht="10.5">
      <c r="X154" s="360"/>
      <c r="Y154" s="360"/>
      <c r="Z154" s="360"/>
      <c r="AA154" s="360"/>
      <c r="AB154" s="360"/>
      <c r="AC154" s="360"/>
    </row>
    <row r="155" spans="24:29" ht="10.5">
      <c r="X155" s="360"/>
      <c r="Y155" s="360"/>
      <c r="Z155" s="360"/>
      <c r="AA155" s="360"/>
      <c r="AB155" s="360"/>
      <c r="AC155" s="360"/>
    </row>
    <row r="156" spans="24:29" ht="10.5">
      <c r="X156" s="360"/>
      <c r="Y156" s="360"/>
      <c r="Z156" s="360"/>
      <c r="AA156" s="360"/>
      <c r="AB156" s="360"/>
      <c r="AC156" s="360"/>
    </row>
    <row r="157" spans="24:29" ht="10.5">
      <c r="X157" s="360"/>
      <c r="Y157" s="360"/>
      <c r="Z157" s="360"/>
      <c r="AA157" s="360"/>
      <c r="AB157" s="360"/>
      <c r="AC157" s="360"/>
    </row>
    <row r="158" spans="24:29" ht="10.5">
      <c r="X158" s="360"/>
      <c r="Y158" s="360"/>
      <c r="Z158" s="360"/>
      <c r="AA158" s="360"/>
      <c r="AB158" s="360"/>
      <c r="AC158" s="360"/>
    </row>
    <row r="159" spans="24:29" ht="10.5">
      <c r="X159" s="360"/>
      <c r="Y159" s="360"/>
      <c r="Z159" s="360"/>
      <c r="AA159" s="360"/>
      <c r="AB159" s="360"/>
      <c r="AC159" s="360"/>
    </row>
    <row r="160" spans="24:29" ht="10.5">
      <c r="X160" s="360"/>
      <c r="Y160" s="360"/>
      <c r="Z160" s="360"/>
      <c r="AA160" s="360"/>
      <c r="AB160" s="360"/>
      <c r="AC160" s="360"/>
    </row>
    <row r="161" spans="24:29" ht="10.5">
      <c r="X161" s="360"/>
      <c r="Y161" s="360"/>
      <c r="Z161" s="360"/>
      <c r="AA161" s="360"/>
      <c r="AB161" s="360"/>
      <c r="AC161" s="360"/>
    </row>
    <row r="162" spans="24:29" ht="10.5">
      <c r="X162" s="360"/>
      <c r="Y162" s="360"/>
      <c r="Z162" s="360"/>
      <c r="AA162" s="360"/>
      <c r="AB162" s="360"/>
      <c r="AC162" s="360"/>
    </row>
    <row r="163" spans="24:29" ht="10.5">
      <c r="X163" s="360"/>
      <c r="Y163" s="360"/>
      <c r="Z163" s="360"/>
      <c r="AA163" s="360"/>
      <c r="AB163" s="360"/>
      <c r="AC163" s="360"/>
    </row>
    <row r="164" spans="24:29" ht="10.5">
      <c r="X164" s="360"/>
      <c r="Y164" s="360"/>
      <c r="Z164" s="360"/>
      <c r="AA164" s="360"/>
      <c r="AB164" s="360"/>
      <c r="AC164" s="360"/>
    </row>
    <row r="165" spans="24:29" ht="10.5">
      <c r="X165" s="360"/>
      <c r="Y165" s="360"/>
      <c r="Z165" s="360"/>
      <c r="AA165" s="360"/>
      <c r="AB165" s="360"/>
      <c r="AC165" s="360"/>
    </row>
    <row r="166" spans="24:29" ht="10.5">
      <c r="X166" s="360"/>
      <c r="Y166" s="360"/>
      <c r="Z166" s="360"/>
      <c r="AA166" s="360"/>
      <c r="AB166" s="360"/>
      <c r="AC166" s="360"/>
    </row>
    <row r="167" spans="24:29" ht="10.5">
      <c r="X167" s="360"/>
      <c r="Y167" s="360"/>
      <c r="Z167" s="360"/>
      <c r="AA167" s="360"/>
      <c r="AB167" s="360"/>
      <c r="AC167" s="360"/>
    </row>
    <row r="168" spans="24:29" ht="10.5">
      <c r="X168" s="360"/>
      <c r="Y168" s="360"/>
      <c r="Z168" s="360"/>
      <c r="AA168" s="360"/>
      <c r="AB168" s="360"/>
      <c r="AC168" s="360"/>
    </row>
    <row r="169" spans="24:29" ht="10.5">
      <c r="X169" s="360"/>
      <c r="Y169" s="360"/>
      <c r="Z169" s="360"/>
      <c r="AA169" s="360"/>
      <c r="AB169" s="360"/>
      <c r="AC169" s="360"/>
    </row>
    <row r="170" spans="24:29" ht="10.5">
      <c r="X170" s="360"/>
      <c r="Y170" s="360"/>
      <c r="Z170" s="360"/>
      <c r="AA170" s="360"/>
      <c r="AB170" s="360"/>
      <c r="AC170" s="360"/>
    </row>
    <row r="171" spans="24:29" ht="10.5">
      <c r="X171" s="360"/>
      <c r="Y171" s="360"/>
      <c r="Z171" s="360"/>
      <c r="AA171" s="360"/>
      <c r="AB171" s="360"/>
      <c r="AC171" s="360"/>
    </row>
    <row r="172" spans="24:29" ht="10.5">
      <c r="X172" s="360"/>
      <c r="Y172" s="360"/>
      <c r="Z172" s="360"/>
      <c r="AA172" s="360"/>
      <c r="AB172" s="360"/>
      <c r="AC172" s="360"/>
    </row>
    <row r="173" spans="24:29" ht="10.5">
      <c r="X173" s="360"/>
      <c r="Y173" s="360"/>
      <c r="Z173" s="360"/>
      <c r="AA173" s="360"/>
      <c r="AB173" s="360"/>
      <c r="AC173" s="360"/>
    </row>
    <row r="174" spans="24:29" ht="10.5">
      <c r="X174" s="360"/>
      <c r="Y174" s="360"/>
      <c r="Z174" s="360"/>
      <c r="AA174" s="360"/>
      <c r="AB174" s="360"/>
      <c r="AC174" s="360"/>
    </row>
    <row r="175" spans="24:29" ht="10.5">
      <c r="X175" s="360"/>
      <c r="Y175" s="360"/>
      <c r="Z175" s="360"/>
      <c r="AA175" s="360"/>
      <c r="AB175" s="360"/>
      <c r="AC175" s="360"/>
    </row>
    <row r="176" spans="24:29" ht="10.5">
      <c r="X176" s="360"/>
      <c r="Y176" s="360"/>
      <c r="Z176" s="360"/>
      <c r="AA176" s="360"/>
      <c r="AB176" s="360"/>
      <c r="AC176" s="360"/>
    </row>
    <row r="177" spans="24:29" ht="10.5">
      <c r="X177" s="360"/>
      <c r="Y177" s="360"/>
      <c r="Z177" s="360"/>
      <c r="AA177" s="360"/>
      <c r="AB177" s="360"/>
      <c r="AC177" s="360"/>
    </row>
    <row r="178" spans="24:29" ht="10.5">
      <c r="X178" s="360"/>
      <c r="Y178" s="360"/>
      <c r="Z178" s="360"/>
      <c r="AA178" s="360"/>
      <c r="AB178" s="360"/>
      <c r="AC178" s="360"/>
    </row>
    <row r="179" spans="24:29" ht="10.5">
      <c r="X179" s="360"/>
      <c r="Y179" s="360"/>
      <c r="Z179" s="360"/>
      <c r="AA179" s="360"/>
      <c r="AB179" s="360"/>
      <c r="AC179" s="360"/>
    </row>
    <row r="180" spans="24:29" ht="10.5">
      <c r="X180" s="360"/>
      <c r="Y180" s="360"/>
      <c r="Z180" s="360"/>
      <c r="AA180" s="360"/>
      <c r="AB180" s="360"/>
      <c r="AC180" s="360"/>
    </row>
    <row r="181" spans="24:29" ht="10.5">
      <c r="X181" s="360"/>
      <c r="Y181" s="360"/>
      <c r="Z181" s="360"/>
      <c r="AA181" s="360"/>
      <c r="AB181" s="360"/>
      <c r="AC181" s="360"/>
    </row>
    <row r="182" spans="24:29" ht="10.5">
      <c r="X182" s="360"/>
      <c r="Y182" s="360"/>
      <c r="Z182" s="360"/>
      <c r="AA182" s="360"/>
      <c r="AB182" s="360"/>
      <c r="AC182" s="360"/>
    </row>
    <row r="183" spans="24:29" ht="10.5">
      <c r="X183" s="360"/>
      <c r="Y183" s="360"/>
      <c r="Z183" s="360"/>
      <c r="AA183" s="360"/>
      <c r="AB183" s="360"/>
      <c r="AC183" s="360"/>
    </row>
    <row r="184" spans="24:29" ht="10.5">
      <c r="X184" s="360"/>
      <c r="Y184" s="360"/>
      <c r="Z184" s="360"/>
      <c r="AA184" s="360"/>
      <c r="AB184" s="360"/>
      <c r="AC184" s="360"/>
    </row>
    <row r="185" spans="24:29" ht="10.5">
      <c r="X185" s="360"/>
      <c r="Y185" s="360"/>
      <c r="Z185" s="360"/>
      <c r="AA185" s="360"/>
      <c r="AB185" s="360"/>
      <c r="AC185" s="360"/>
    </row>
    <row r="186" spans="24:29" ht="10.5">
      <c r="X186" s="360"/>
      <c r="Y186" s="360"/>
      <c r="Z186" s="360"/>
      <c r="AA186" s="360"/>
      <c r="AB186" s="360"/>
      <c r="AC186" s="360"/>
    </row>
    <row r="187" spans="24:29" ht="10.5">
      <c r="X187" s="360"/>
      <c r="Y187" s="360"/>
      <c r="Z187" s="360"/>
      <c r="AA187" s="360"/>
      <c r="AB187" s="360"/>
      <c r="AC187" s="360"/>
    </row>
    <row r="188" spans="24:29" ht="10.5">
      <c r="X188" s="360"/>
      <c r="Y188" s="360"/>
      <c r="Z188" s="360"/>
      <c r="AA188" s="360"/>
      <c r="AB188" s="360"/>
      <c r="AC188" s="360"/>
    </row>
    <row r="189" spans="24:29" ht="10.5">
      <c r="X189" s="360"/>
      <c r="Y189" s="360"/>
      <c r="Z189" s="360"/>
      <c r="AA189" s="360"/>
      <c r="AB189" s="360"/>
      <c r="AC189" s="360"/>
    </row>
    <row r="190" spans="24:29" ht="10.5">
      <c r="X190" s="360"/>
      <c r="Y190" s="360"/>
      <c r="Z190" s="360"/>
      <c r="AA190" s="360"/>
      <c r="AB190" s="360"/>
      <c r="AC190" s="360"/>
    </row>
    <row r="191" spans="24:29" ht="10.5">
      <c r="X191" s="360"/>
      <c r="Y191" s="360"/>
      <c r="Z191" s="360"/>
      <c r="AA191" s="360"/>
      <c r="AB191" s="360"/>
      <c r="AC191" s="360"/>
    </row>
    <row r="192" spans="24:29" ht="10.5">
      <c r="X192" s="360"/>
      <c r="Y192" s="360"/>
      <c r="Z192" s="360"/>
      <c r="AA192" s="360"/>
      <c r="AB192" s="360"/>
      <c r="AC192" s="360"/>
    </row>
    <row r="193" spans="24:29" ht="10.5">
      <c r="X193" s="360"/>
      <c r="Y193" s="360"/>
      <c r="Z193" s="360"/>
      <c r="AA193" s="360"/>
      <c r="AB193" s="360"/>
      <c r="AC193" s="360"/>
    </row>
    <row r="194" spans="24:29" ht="10.5">
      <c r="X194" s="360"/>
      <c r="Y194" s="360"/>
      <c r="Z194" s="360"/>
      <c r="AA194" s="360"/>
      <c r="AB194" s="360"/>
      <c r="AC194" s="360"/>
    </row>
    <row r="195" spans="24:29" ht="10.5">
      <c r="X195" s="360"/>
      <c r="Y195" s="360"/>
      <c r="Z195" s="360"/>
      <c r="AA195" s="360"/>
      <c r="AB195" s="360"/>
      <c r="AC195" s="360"/>
    </row>
    <row r="196" spans="24:29" ht="10.5">
      <c r="X196" s="360"/>
      <c r="Y196" s="360"/>
      <c r="Z196" s="360"/>
      <c r="AA196" s="360"/>
      <c r="AB196" s="360"/>
      <c r="AC196" s="360"/>
    </row>
    <row r="197" spans="24:29" ht="10.5">
      <c r="X197" s="360"/>
      <c r="Y197" s="360"/>
      <c r="Z197" s="360"/>
      <c r="AA197" s="360"/>
      <c r="AB197" s="360"/>
      <c r="AC197" s="360"/>
    </row>
    <row r="198" spans="24:29" ht="10.5">
      <c r="X198" s="360"/>
      <c r="Y198" s="360"/>
      <c r="Z198" s="360"/>
      <c r="AA198" s="360"/>
      <c r="AB198" s="360"/>
      <c r="AC198" s="360"/>
    </row>
    <row r="199" spans="24:29" ht="10.5">
      <c r="X199" s="360"/>
      <c r="Y199" s="360"/>
      <c r="Z199" s="360"/>
      <c r="AA199" s="360"/>
      <c r="AB199" s="360"/>
      <c r="AC199" s="360"/>
    </row>
    <row r="200" spans="24:29" ht="10.5">
      <c r="X200" s="360"/>
      <c r="Y200" s="360"/>
      <c r="Z200" s="360"/>
      <c r="AA200" s="360"/>
      <c r="AB200" s="360"/>
      <c r="AC200" s="360"/>
    </row>
    <row r="201" spans="24:29" ht="10.5">
      <c r="X201" s="360"/>
      <c r="Y201" s="360"/>
      <c r="Z201" s="360"/>
      <c r="AA201" s="360"/>
      <c r="AB201" s="360"/>
      <c r="AC201" s="360"/>
    </row>
    <row r="202" spans="24:29" ht="10.5">
      <c r="X202" s="360"/>
      <c r="Y202" s="360"/>
      <c r="Z202" s="360"/>
      <c r="AA202" s="360"/>
      <c r="AB202" s="360"/>
      <c r="AC202" s="360"/>
    </row>
    <row r="203" spans="24:29" ht="10.5">
      <c r="X203" s="360"/>
      <c r="Y203" s="360"/>
      <c r="Z203" s="360"/>
      <c r="AA203" s="360"/>
      <c r="AB203" s="360"/>
      <c r="AC203" s="360"/>
    </row>
    <row r="204" spans="24:29" ht="10.5">
      <c r="X204" s="360"/>
      <c r="Y204" s="360"/>
      <c r="Z204" s="360"/>
      <c r="AA204" s="360"/>
      <c r="AB204" s="360"/>
      <c r="AC204" s="360"/>
    </row>
    <row r="205" spans="24:29" ht="10.5">
      <c r="X205" s="360"/>
      <c r="Y205" s="360"/>
      <c r="Z205" s="360"/>
      <c r="AA205" s="360"/>
      <c r="AB205" s="360"/>
      <c r="AC205" s="360"/>
    </row>
    <row r="206" spans="24:29" ht="10.5">
      <c r="X206" s="360"/>
      <c r="Y206" s="360"/>
      <c r="Z206" s="360"/>
      <c r="AA206" s="360"/>
      <c r="AB206" s="360"/>
      <c r="AC206" s="360"/>
    </row>
    <row r="207" spans="24:29" ht="10.5">
      <c r="X207" s="360"/>
      <c r="Y207" s="360"/>
      <c r="Z207" s="360"/>
      <c r="AA207" s="360"/>
      <c r="AB207" s="360"/>
      <c r="AC207" s="360"/>
    </row>
    <row r="208" spans="24:29" ht="10.5">
      <c r="X208" s="360"/>
      <c r="Y208" s="360"/>
      <c r="Z208" s="360"/>
      <c r="AA208" s="360"/>
      <c r="AB208" s="360"/>
      <c r="AC208" s="360"/>
    </row>
    <row r="209" spans="24:29" ht="10.5">
      <c r="X209" s="360"/>
      <c r="Y209" s="360"/>
      <c r="Z209" s="360"/>
      <c r="AA209" s="360"/>
      <c r="AB209" s="360"/>
      <c r="AC209" s="360"/>
    </row>
    <row r="210" spans="24:29" ht="10.5">
      <c r="X210" s="360"/>
      <c r="Y210" s="360"/>
      <c r="Z210" s="360"/>
      <c r="AA210" s="360"/>
      <c r="AB210" s="360"/>
      <c r="AC210" s="360"/>
    </row>
    <row r="211" spans="24:29" ht="10.5">
      <c r="X211" s="360"/>
      <c r="Y211" s="360"/>
      <c r="Z211" s="360"/>
      <c r="AA211" s="360"/>
      <c r="AB211" s="360"/>
      <c r="AC211" s="360"/>
    </row>
    <row r="212" spans="24:29" ht="10.5">
      <c r="X212" s="360"/>
      <c r="Y212" s="360"/>
      <c r="Z212" s="360"/>
      <c r="AA212" s="360"/>
      <c r="AB212" s="360"/>
      <c r="AC212" s="360"/>
    </row>
    <row r="213" spans="24:29" ht="10.5">
      <c r="X213" s="360"/>
      <c r="Y213" s="360"/>
      <c r="Z213" s="360"/>
      <c r="AA213" s="360"/>
      <c r="AB213" s="360"/>
      <c r="AC213" s="360"/>
    </row>
    <row r="214" spans="24:29" ht="10.5">
      <c r="X214" s="360"/>
      <c r="Y214" s="360"/>
      <c r="Z214" s="360"/>
      <c r="AA214" s="360"/>
      <c r="AB214" s="360"/>
      <c r="AC214" s="360"/>
    </row>
    <row r="215" spans="24:29" ht="10.5">
      <c r="X215" s="360"/>
      <c r="Y215" s="360"/>
      <c r="Z215" s="360"/>
      <c r="AA215" s="360"/>
      <c r="AB215" s="360"/>
      <c r="AC215" s="360"/>
    </row>
    <row r="216" spans="24:29" ht="10.5">
      <c r="X216" s="360"/>
      <c r="Y216" s="360"/>
      <c r="Z216" s="360"/>
      <c r="AA216" s="360"/>
      <c r="AB216" s="360"/>
      <c r="AC216" s="360"/>
    </row>
    <row r="217" spans="24:29" ht="10.5">
      <c r="X217" s="360"/>
      <c r="Y217" s="360"/>
      <c r="Z217" s="360"/>
      <c r="AA217" s="360"/>
      <c r="AB217" s="360"/>
      <c r="AC217" s="360"/>
    </row>
    <row r="218" spans="24:29" ht="10.5">
      <c r="X218" s="360"/>
      <c r="Y218" s="360"/>
      <c r="Z218" s="360"/>
      <c r="AA218" s="360"/>
      <c r="AB218" s="360"/>
      <c r="AC218" s="360"/>
    </row>
    <row r="219" spans="24:29" ht="10.5">
      <c r="X219" s="360"/>
      <c r="Y219" s="360"/>
      <c r="Z219" s="360"/>
      <c r="AA219" s="360"/>
      <c r="AB219" s="360"/>
      <c r="AC219" s="360"/>
    </row>
    <row r="220" spans="24:29" ht="10.5">
      <c r="X220" s="360"/>
      <c r="Y220" s="360"/>
      <c r="Z220" s="360"/>
      <c r="AA220" s="360"/>
      <c r="AB220" s="360"/>
      <c r="AC220" s="360"/>
    </row>
    <row r="221" spans="24:29" ht="10.5">
      <c r="X221" s="360"/>
      <c r="Y221" s="360"/>
      <c r="Z221" s="360"/>
      <c r="AA221" s="360"/>
      <c r="AB221" s="360"/>
      <c r="AC221" s="360"/>
    </row>
    <row r="222" spans="24:29" ht="10.5">
      <c r="X222" s="360"/>
      <c r="Y222" s="360"/>
      <c r="Z222" s="360"/>
      <c r="AA222" s="360"/>
      <c r="AB222" s="360"/>
      <c r="AC222" s="360"/>
    </row>
    <row r="223" spans="24:29" ht="10.5">
      <c r="X223" s="360"/>
      <c r="Y223" s="360"/>
      <c r="Z223" s="360"/>
      <c r="AA223" s="360"/>
      <c r="AB223" s="360"/>
      <c r="AC223" s="360"/>
    </row>
    <row r="224" spans="24:29" ht="10.5">
      <c r="X224" s="360"/>
      <c r="Y224" s="360"/>
      <c r="Z224" s="360"/>
      <c r="AA224" s="360"/>
      <c r="AB224" s="360"/>
      <c r="AC224" s="360"/>
    </row>
    <row r="225" spans="24:29" ht="10.5">
      <c r="X225" s="360"/>
      <c r="Y225" s="360"/>
      <c r="Z225" s="360"/>
      <c r="AA225" s="360"/>
      <c r="AB225" s="360"/>
      <c r="AC225" s="360"/>
    </row>
    <row r="226" spans="24:29" ht="10.5">
      <c r="X226" s="360"/>
      <c r="Y226" s="360"/>
      <c r="Z226" s="360"/>
      <c r="AA226" s="360"/>
      <c r="AB226" s="360"/>
      <c r="AC226" s="360"/>
    </row>
    <row r="227" spans="24:29" ht="10.5">
      <c r="X227" s="360"/>
      <c r="Y227" s="360"/>
      <c r="Z227" s="360"/>
      <c r="AA227" s="360"/>
      <c r="AB227" s="360"/>
      <c r="AC227" s="360"/>
    </row>
    <row r="228" spans="24:29" ht="10.5">
      <c r="X228" s="360"/>
      <c r="Y228" s="360"/>
      <c r="Z228" s="360"/>
      <c r="AA228" s="360"/>
      <c r="AB228" s="360"/>
      <c r="AC228" s="360"/>
    </row>
    <row r="229" spans="24:29" ht="10.5">
      <c r="X229" s="360"/>
      <c r="Y229" s="360"/>
      <c r="Z229" s="360"/>
      <c r="AA229" s="360"/>
      <c r="AB229" s="360"/>
      <c r="AC229" s="360"/>
    </row>
    <row r="230" spans="24:29" ht="10.5">
      <c r="X230" s="360"/>
      <c r="Y230" s="360"/>
      <c r="Z230" s="360"/>
      <c r="AA230" s="360"/>
      <c r="AB230" s="360"/>
      <c r="AC230" s="360"/>
    </row>
    <row r="231" spans="24:29" ht="10.5">
      <c r="X231" s="360"/>
      <c r="Y231" s="360"/>
      <c r="Z231" s="360"/>
      <c r="AA231" s="360"/>
      <c r="AB231" s="360"/>
      <c r="AC231" s="360"/>
    </row>
    <row r="232" spans="24:29" ht="10.5">
      <c r="X232" s="360"/>
      <c r="Y232" s="360"/>
      <c r="Z232" s="360"/>
      <c r="AA232" s="360"/>
      <c r="AB232" s="360"/>
      <c r="AC232" s="360"/>
    </row>
    <row r="233" spans="24:29" ht="10.5">
      <c r="X233" s="360"/>
      <c r="Y233" s="360"/>
      <c r="Z233" s="360"/>
      <c r="AA233" s="360"/>
      <c r="AB233" s="360"/>
      <c r="AC233" s="360"/>
    </row>
    <row r="234" ht="10.5"/>
  </sheetData>
  <sheetProtection/>
  <hyperlinks>
    <hyperlink ref="K59" r:id="rId1" display="www.sentenca.com.br"/>
  </hyperlinks>
  <printOptions/>
  <pageMargins left="0.3937007874015748" right="0.31496062992125984" top="0.7874015748031497" bottom="0.5905511811023623" header="0.31496062992125984" footer="0.31496062992125984"/>
  <pageSetup horizontalDpi="600" verticalDpi="600" orientation="landscape" paperSize="9" scale="85" r:id="rId2"/>
  <headerFooter>
    <oddHeader>&amp;R
Anexo: 02
Folha : 0&amp;P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59"/>
  <sheetViews>
    <sheetView zoomScalePageLayoutView="0" workbookViewId="0" topLeftCell="A28">
      <selection activeCell="J58" sqref="J58:K59"/>
    </sheetView>
  </sheetViews>
  <sheetFormatPr defaultColWidth="9.33203125" defaultRowHeight="10.5"/>
  <cols>
    <col min="1" max="1" width="8.33203125" style="388" customWidth="1"/>
    <col min="2" max="2" width="10" style="388" customWidth="1"/>
    <col min="3" max="3" width="9.83203125" style="388" customWidth="1"/>
    <col min="4" max="4" width="6.66015625" style="388" customWidth="1"/>
    <col min="5" max="5" width="9" style="388" customWidth="1"/>
    <col min="6" max="6" width="12.83203125" style="388" customWidth="1"/>
    <col min="7" max="7" width="12.16015625" style="388" customWidth="1"/>
    <col min="8" max="8" width="12" style="388" customWidth="1"/>
    <col min="9" max="9" width="13.16015625" style="388" customWidth="1"/>
    <col min="10" max="11" width="12.33203125" style="1" customWidth="1"/>
    <col min="12" max="12" width="13.66015625" style="1" customWidth="1"/>
    <col min="13" max="13" width="12.5" style="1" customWidth="1"/>
    <col min="14" max="14" width="13" style="1" customWidth="1"/>
    <col min="15" max="15" width="6.33203125" style="388" customWidth="1"/>
    <col min="16" max="16" width="15.16015625" style="388" customWidth="1"/>
    <col min="17" max="17" width="5.16015625" style="388" customWidth="1"/>
    <col min="18" max="16384" width="9.33203125" style="388" customWidth="1"/>
  </cols>
  <sheetData>
    <row r="1" spans="1:4" s="611" customFormat="1" ht="14.25" customHeight="1">
      <c r="A1" s="610" t="s">
        <v>465</v>
      </c>
      <c r="B1" s="610"/>
      <c r="C1" s="610"/>
      <c r="D1" s="610"/>
    </row>
    <row r="2" spans="1:4" s="107" customFormat="1" ht="10.5" customHeight="1">
      <c r="A2" s="132"/>
      <c r="B2" s="612"/>
      <c r="C2" s="132"/>
      <c r="D2" s="132"/>
    </row>
    <row r="3" spans="1:4" s="107" customFormat="1" ht="10.5" customHeight="1">
      <c r="A3" s="132"/>
      <c r="B3" s="612"/>
      <c r="C3" s="132"/>
      <c r="D3" s="132"/>
    </row>
    <row r="4" spans="1:9" ht="10.5">
      <c r="A4" s="389" t="s">
        <v>355</v>
      </c>
      <c r="B4" s="390"/>
      <c r="C4" s="390"/>
      <c r="D4" s="390"/>
      <c r="E4" s="390"/>
      <c r="F4" s="390"/>
      <c r="G4" s="390"/>
      <c r="H4" s="390"/>
      <c r="I4"/>
    </row>
    <row r="5" spans="1:14" s="489" customFormat="1" ht="10.5">
      <c r="A5" s="391"/>
      <c r="B5" s="391"/>
      <c r="C5" s="391"/>
      <c r="D5" s="391"/>
      <c r="E5" s="391"/>
      <c r="F5" s="391"/>
      <c r="G5" s="391"/>
      <c r="H5" s="391"/>
      <c r="I5" s="539"/>
      <c r="J5" s="540"/>
      <c r="K5" s="540"/>
      <c r="L5" s="540"/>
      <c r="M5" s="540"/>
      <c r="N5" s="540"/>
    </row>
    <row r="6" spans="1:4" s="176" customFormat="1" ht="11.25" customHeight="1">
      <c r="A6" s="175" t="s">
        <v>451</v>
      </c>
      <c r="B6" s="53"/>
      <c r="C6" s="288"/>
      <c r="D6" s="107"/>
    </row>
    <row r="7" spans="1:4" s="176" customFormat="1" ht="11.25" customHeight="1">
      <c r="A7" s="173" t="s">
        <v>453</v>
      </c>
      <c r="B7" s="16"/>
      <c r="C7" s="294"/>
      <c r="D7" s="107"/>
    </row>
    <row r="8" spans="1:4" s="176" customFormat="1" ht="11.25" customHeight="1">
      <c r="A8" s="173" t="s">
        <v>454</v>
      </c>
      <c r="B8" s="16"/>
      <c r="C8" s="294"/>
      <c r="D8" s="107"/>
    </row>
    <row r="9" spans="1:4" s="176" customFormat="1" ht="11.25" customHeight="1">
      <c r="A9" s="173" t="s">
        <v>452</v>
      </c>
      <c r="B9" s="16"/>
      <c r="C9" s="294"/>
      <c r="D9" s="107"/>
    </row>
    <row r="10" spans="1:4" s="176" customFormat="1" ht="11.25" customHeight="1">
      <c r="A10" s="175" t="s">
        <v>455</v>
      </c>
      <c r="B10" s="53"/>
      <c r="C10" s="288"/>
      <c r="D10" s="107"/>
    </row>
    <row r="11" spans="1:29" s="176" customFormat="1" ht="11.25" customHeight="1">
      <c r="A11" s="173" t="s">
        <v>460</v>
      </c>
      <c r="B11" s="16"/>
      <c r="C11" s="294"/>
      <c r="D11" s="107"/>
      <c r="X11" s="107"/>
      <c r="Y11" s="107"/>
      <c r="Z11" s="107"/>
      <c r="AA11" s="107"/>
      <c r="AB11" s="107"/>
      <c r="AC11" s="107"/>
    </row>
    <row r="12" spans="1:9" ht="14.25" customHeight="1" thickBot="1">
      <c r="A12" s="1"/>
      <c r="B12" s="1"/>
      <c r="C12" s="1"/>
      <c r="D12" s="1"/>
      <c r="E12" s="1"/>
      <c r="F12" s="1"/>
      <c r="G12" s="1"/>
      <c r="H12" s="1"/>
      <c r="I12"/>
    </row>
    <row r="13" spans="1:14" ht="12" thickBot="1" thickTop="1">
      <c r="A13" s="392" t="s">
        <v>3</v>
      </c>
      <c r="B13" s="393" t="s">
        <v>4</v>
      </c>
      <c r="C13" s="393" t="s">
        <v>5</v>
      </c>
      <c r="D13" s="393" t="s">
        <v>6</v>
      </c>
      <c r="E13" s="393" t="s">
        <v>7</v>
      </c>
      <c r="F13" s="393" t="s">
        <v>8</v>
      </c>
      <c r="G13" s="393" t="s">
        <v>9</v>
      </c>
      <c r="H13" s="393" t="s">
        <v>10</v>
      </c>
      <c r="I13" s="393" t="s">
        <v>11</v>
      </c>
      <c r="J13" s="393" t="s">
        <v>80</v>
      </c>
      <c r="K13" s="393" t="s">
        <v>101</v>
      </c>
      <c r="L13" s="2" t="s">
        <v>109</v>
      </c>
      <c r="M13" s="2" t="s">
        <v>110</v>
      </c>
      <c r="N13" s="2" t="s">
        <v>124</v>
      </c>
    </row>
    <row r="14" spans="1:9" ht="12" thickBot="1" thickTop="1">
      <c r="A14" s="541"/>
      <c r="B14" s="395"/>
      <c r="C14" s="395"/>
      <c r="D14" s="395"/>
      <c r="E14" s="395"/>
      <c r="F14" s="395"/>
      <c r="G14" s="395"/>
      <c r="H14" s="395"/>
      <c r="I14" s="395"/>
    </row>
    <row r="15" spans="1:14" ht="10.5" customHeight="1" thickTop="1">
      <c r="A15" s="542" t="s">
        <v>1</v>
      </c>
      <c r="B15" s="543" t="s">
        <v>89</v>
      </c>
      <c r="C15" s="544" t="s">
        <v>282</v>
      </c>
      <c r="D15" s="544" t="s">
        <v>12</v>
      </c>
      <c r="E15" s="544" t="s">
        <v>282</v>
      </c>
      <c r="F15" s="448" t="s">
        <v>362</v>
      </c>
      <c r="G15" s="448" t="s">
        <v>39</v>
      </c>
      <c r="H15" s="448" t="s">
        <v>87</v>
      </c>
      <c r="I15" s="448" t="s">
        <v>15</v>
      </c>
      <c r="J15" s="177" t="s">
        <v>13</v>
      </c>
      <c r="K15" s="177" t="s">
        <v>14</v>
      </c>
      <c r="L15" s="177" t="s">
        <v>36</v>
      </c>
      <c r="M15" s="177" t="s">
        <v>12</v>
      </c>
      <c r="N15" s="545" t="s">
        <v>0</v>
      </c>
    </row>
    <row r="16" spans="1:14" ht="11.25" customHeight="1">
      <c r="A16" s="546"/>
      <c r="B16" s="547" t="s">
        <v>315</v>
      </c>
      <c r="C16" s="548" t="s">
        <v>283</v>
      </c>
      <c r="D16" s="548" t="s">
        <v>373</v>
      </c>
      <c r="E16" s="548" t="s">
        <v>283</v>
      </c>
      <c r="F16" s="450" t="s">
        <v>282</v>
      </c>
      <c r="G16" s="450" t="s">
        <v>332</v>
      </c>
      <c r="H16" s="450" t="s">
        <v>340</v>
      </c>
      <c r="I16" s="450" t="s">
        <v>353</v>
      </c>
      <c r="J16" s="179" t="s">
        <v>17</v>
      </c>
      <c r="K16" s="179" t="s">
        <v>15</v>
      </c>
      <c r="L16" s="179" t="s">
        <v>23</v>
      </c>
      <c r="M16" s="179" t="s">
        <v>18</v>
      </c>
      <c r="N16" s="550" t="s">
        <v>19</v>
      </c>
    </row>
    <row r="17" spans="1:14" ht="12" customHeight="1">
      <c r="A17" s="546"/>
      <c r="B17" s="547" t="s">
        <v>371</v>
      </c>
      <c r="C17" s="551">
        <v>0.2</v>
      </c>
      <c r="D17" s="574" t="s">
        <v>37</v>
      </c>
      <c r="E17" s="574" t="s">
        <v>310</v>
      </c>
      <c r="F17" s="450" t="s">
        <v>283</v>
      </c>
      <c r="G17" s="450" t="s">
        <v>282</v>
      </c>
      <c r="H17" s="450" t="s">
        <v>342</v>
      </c>
      <c r="I17" s="450" t="s">
        <v>354</v>
      </c>
      <c r="J17" s="179" t="s">
        <v>21</v>
      </c>
      <c r="K17" s="179" t="s">
        <v>22</v>
      </c>
      <c r="L17" s="181" t="s">
        <v>26</v>
      </c>
      <c r="M17" s="179" t="s">
        <v>2</v>
      </c>
      <c r="N17" s="550" t="s">
        <v>24</v>
      </c>
    </row>
    <row r="18" spans="1:14" ht="11.25" customHeight="1">
      <c r="A18" s="546"/>
      <c r="B18" s="547" t="s">
        <v>372</v>
      </c>
      <c r="C18" s="548"/>
      <c r="D18" s="548" t="s">
        <v>114</v>
      </c>
      <c r="E18" s="548"/>
      <c r="F18" s="450" t="s">
        <v>217</v>
      </c>
      <c r="G18" s="450" t="s">
        <v>283</v>
      </c>
      <c r="H18" s="450"/>
      <c r="I18" s="450" t="s">
        <v>342</v>
      </c>
      <c r="J18" s="179" t="s">
        <v>25</v>
      </c>
      <c r="K18" s="179"/>
      <c r="L18" s="182" t="s">
        <v>28</v>
      </c>
      <c r="M18" s="179"/>
      <c r="N18" s="550" t="s">
        <v>27</v>
      </c>
    </row>
    <row r="19" spans="1:14" ht="11.25" customHeight="1">
      <c r="A19" s="546"/>
      <c r="B19" s="547"/>
      <c r="C19" s="548"/>
      <c r="D19" s="548"/>
      <c r="E19" s="548"/>
      <c r="F19" s="450" t="s">
        <v>177</v>
      </c>
      <c r="G19" s="409"/>
      <c r="H19" s="450"/>
      <c r="I19" s="450"/>
      <c r="J19" s="183">
        <v>42005</v>
      </c>
      <c r="K19" s="179"/>
      <c r="L19" s="184" t="s">
        <v>361</v>
      </c>
      <c r="M19" s="179"/>
      <c r="N19" s="552" t="s">
        <v>29</v>
      </c>
    </row>
    <row r="20" spans="1:16" ht="11.25" thickBot="1">
      <c r="A20" s="553"/>
      <c r="B20" s="554"/>
      <c r="C20" s="575" t="s">
        <v>374</v>
      </c>
      <c r="D20" s="555"/>
      <c r="E20" s="575" t="s">
        <v>375</v>
      </c>
      <c r="F20" s="453"/>
      <c r="G20" s="453" t="s">
        <v>443</v>
      </c>
      <c r="H20" s="554" t="s">
        <v>444</v>
      </c>
      <c r="I20" s="453" t="s">
        <v>445</v>
      </c>
      <c r="J20" s="186"/>
      <c r="K20" s="187" t="s">
        <v>380</v>
      </c>
      <c r="L20" s="51">
        <v>42005</v>
      </c>
      <c r="M20" s="187" t="s">
        <v>446</v>
      </c>
      <c r="N20" s="556" t="s">
        <v>447</v>
      </c>
      <c r="P20" s="557" t="s">
        <v>326</v>
      </c>
    </row>
    <row r="21" spans="1:14" ht="11.25" thickTop="1">
      <c r="A21" s="558"/>
      <c r="B21" s="428"/>
      <c r="C21" s="559"/>
      <c r="D21" s="559"/>
      <c r="E21" s="559"/>
      <c r="F21" s="560"/>
      <c r="G21" s="560"/>
      <c r="H21"/>
      <c r="I21"/>
      <c r="J21" s="561"/>
      <c r="K21" s="562"/>
      <c r="L21" s="563"/>
      <c r="M21" s="562"/>
      <c r="N21" s="562"/>
    </row>
    <row r="22" spans="1:16" ht="10.5">
      <c r="A22" s="305">
        <f>'02'!A22</f>
        <v>39814</v>
      </c>
      <c r="B22" s="432">
        <v>0</v>
      </c>
      <c r="C22" s="432">
        <f>B22/30*2</f>
        <v>0</v>
      </c>
      <c r="D22" s="432">
        <f>'01'!B22</f>
        <v>7.21</v>
      </c>
      <c r="E22" s="432">
        <f>C22*D22</f>
        <v>0</v>
      </c>
      <c r="F22" s="432">
        <v>0</v>
      </c>
      <c r="G22" s="432">
        <f>E22-F22</f>
        <v>0</v>
      </c>
      <c r="H22" s="432">
        <f>G22*11.2%</f>
        <v>0</v>
      </c>
      <c r="I22" s="432">
        <f>G22+H22</f>
        <v>0</v>
      </c>
      <c r="J22" s="91">
        <f>'02'!N22</f>
        <v>1.03816541</v>
      </c>
      <c r="K22" s="329">
        <f>I22*J22</f>
        <v>0</v>
      </c>
      <c r="L22" s="564">
        <f>'02'!P22</f>
        <v>35.03</v>
      </c>
      <c r="M22" s="329">
        <f aca="true" t="shared" si="0" ref="M22:M53">(K22*L22%)</f>
        <v>0</v>
      </c>
      <c r="N22" s="172">
        <f aca="true" t="shared" si="1" ref="N22:N53">K22+M22</f>
        <v>0</v>
      </c>
      <c r="P22" s="485">
        <f>H22*J22</f>
        <v>0</v>
      </c>
    </row>
    <row r="23" spans="1:16" ht="10.5">
      <c r="A23" s="305">
        <f>'02'!A23</f>
        <v>39845</v>
      </c>
      <c r="B23" s="432">
        <v>0</v>
      </c>
      <c r="C23" s="432">
        <f aca="true" t="shared" si="2" ref="C23:C29">B23</f>
        <v>0</v>
      </c>
      <c r="D23" s="432">
        <f>'01'!B23</f>
        <v>7.21</v>
      </c>
      <c r="E23" s="432">
        <f aca="true" t="shared" si="3" ref="E23:E53">C23*D23</f>
        <v>0</v>
      </c>
      <c r="F23" s="432">
        <v>0</v>
      </c>
      <c r="G23" s="432">
        <f aca="true" t="shared" si="4" ref="G23:G53">E23-F23</f>
        <v>0</v>
      </c>
      <c r="H23" s="432">
        <f aca="true" t="shared" si="5" ref="H23:H53">G23*11.2%</f>
        <v>0</v>
      </c>
      <c r="I23" s="432">
        <f aca="true" t="shared" si="6" ref="I23:I53">G23+H23</f>
        <v>0</v>
      </c>
      <c r="J23" s="91">
        <f>'02'!N23</f>
        <v>1.03769741</v>
      </c>
      <c r="K23" s="329">
        <f aca="true" t="shared" si="7" ref="K23:K53">I23*J23</f>
        <v>0</v>
      </c>
      <c r="L23" s="564">
        <f aca="true" t="shared" si="8" ref="L23:L53">L22</f>
        <v>35.03</v>
      </c>
      <c r="M23" s="329">
        <f t="shared" si="0"/>
        <v>0</v>
      </c>
      <c r="N23" s="172">
        <f t="shared" si="1"/>
        <v>0</v>
      </c>
      <c r="P23" s="485">
        <f aca="true" t="shared" si="9" ref="P23:P53">H23*J23</f>
        <v>0</v>
      </c>
    </row>
    <row r="24" spans="1:16" ht="10.5">
      <c r="A24" s="305">
        <f>'02'!A24</f>
        <v>39873</v>
      </c>
      <c r="B24" s="432">
        <v>0</v>
      </c>
      <c r="C24" s="432">
        <f t="shared" si="2"/>
        <v>0</v>
      </c>
      <c r="D24" s="432">
        <f>'01'!B24</f>
        <v>7.21</v>
      </c>
      <c r="E24" s="432">
        <f t="shared" si="3"/>
        <v>0</v>
      </c>
      <c r="F24" s="432">
        <v>0</v>
      </c>
      <c r="G24" s="432">
        <f t="shared" si="4"/>
        <v>0</v>
      </c>
      <c r="H24" s="432">
        <f t="shared" si="5"/>
        <v>0</v>
      </c>
      <c r="I24" s="432">
        <f t="shared" si="6"/>
        <v>0</v>
      </c>
      <c r="J24" s="91">
        <f>'02'!N24</f>
        <v>1.03620734</v>
      </c>
      <c r="K24" s="329">
        <f t="shared" si="7"/>
        <v>0</v>
      </c>
      <c r="L24" s="564">
        <f t="shared" si="8"/>
        <v>35.03</v>
      </c>
      <c r="M24" s="329">
        <f t="shared" si="0"/>
        <v>0</v>
      </c>
      <c r="N24" s="172">
        <f t="shared" si="1"/>
        <v>0</v>
      </c>
      <c r="P24" s="485">
        <f t="shared" si="9"/>
        <v>0</v>
      </c>
    </row>
    <row r="25" spans="1:16" ht="10.5">
      <c r="A25" s="305">
        <f>'02'!A25</f>
        <v>39904</v>
      </c>
      <c r="B25" s="432">
        <v>0</v>
      </c>
      <c r="C25" s="432">
        <f t="shared" si="2"/>
        <v>0</v>
      </c>
      <c r="D25" s="432">
        <f>'01'!B25</f>
        <v>7.21</v>
      </c>
      <c r="E25" s="432">
        <f t="shared" si="3"/>
        <v>0</v>
      </c>
      <c r="F25" s="432">
        <v>0</v>
      </c>
      <c r="G25" s="432">
        <f t="shared" si="4"/>
        <v>0</v>
      </c>
      <c r="H25" s="432">
        <f t="shared" si="5"/>
        <v>0</v>
      </c>
      <c r="I25" s="432">
        <f t="shared" si="6"/>
        <v>0</v>
      </c>
      <c r="J25" s="91">
        <f>'02'!N25</f>
        <v>1.03573712</v>
      </c>
      <c r="K25" s="329">
        <f t="shared" si="7"/>
        <v>0</v>
      </c>
      <c r="L25" s="564">
        <f t="shared" si="8"/>
        <v>35.03</v>
      </c>
      <c r="M25" s="329">
        <f t="shared" si="0"/>
        <v>0</v>
      </c>
      <c r="N25" s="172">
        <f t="shared" si="1"/>
        <v>0</v>
      </c>
      <c r="P25" s="485">
        <f t="shared" si="9"/>
        <v>0</v>
      </c>
    </row>
    <row r="26" spans="1:16" ht="10.5">
      <c r="A26" s="305">
        <f>'02'!A26</f>
        <v>39934</v>
      </c>
      <c r="B26" s="432">
        <v>0</v>
      </c>
      <c r="C26" s="432">
        <f t="shared" si="2"/>
        <v>0</v>
      </c>
      <c r="D26" s="432">
        <f>'01'!B26</f>
        <v>7.7</v>
      </c>
      <c r="E26" s="432">
        <f t="shared" si="3"/>
        <v>0</v>
      </c>
      <c r="F26" s="432">
        <v>0</v>
      </c>
      <c r="G26" s="432">
        <f t="shared" si="4"/>
        <v>0</v>
      </c>
      <c r="H26" s="432">
        <f t="shared" si="5"/>
        <v>0</v>
      </c>
      <c r="I26" s="432">
        <f t="shared" si="6"/>
        <v>0</v>
      </c>
      <c r="J26" s="91">
        <f>'02'!N26</f>
        <v>1.03527228</v>
      </c>
      <c r="K26" s="329">
        <f t="shared" si="7"/>
        <v>0</v>
      </c>
      <c r="L26" s="564">
        <f t="shared" si="8"/>
        <v>35.03</v>
      </c>
      <c r="M26" s="329">
        <f t="shared" si="0"/>
        <v>0</v>
      </c>
      <c r="N26" s="172">
        <f t="shared" si="1"/>
        <v>0</v>
      </c>
      <c r="P26" s="485">
        <f t="shared" si="9"/>
        <v>0</v>
      </c>
    </row>
    <row r="27" spans="1:16" ht="10.5">
      <c r="A27" s="305">
        <f>'02'!A27</f>
        <v>39965</v>
      </c>
      <c r="B27" s="432">
        <v>0</v>
      </c>
      <c r="C27" s="432">
        <f t="shared" si="2"/>
        <v>0</v>
      </c>
      <c r="D27" s="432">
        <f>'01'!B27</f>
        <v>7.7</v>
      </c>
      <c r="E27" s="432">
        <f t="shared" si="3"/>
        <v>0</v>
      </c>
      <c r="F27" s="432">
        <v>0</v>
      </c>
      <c r="G27" s="432">
        <f t="shared" si="4"/>
        <v>0</v>
      </c>
      <c r="H27" s="432">
        <f t="shared" si="5"/>
        <v>0</v>
      </c>
      <c r="I27" s="432">
        <f t="shared" si="6"/>
        <v>0</v>
      </c>
      <c r="J27" s="91">
        <f>'02'!N27</f>
        <v>1.03459358</v>
      </c>
      <c r="K27" s="329">
        <f t="shared" si="7"/>
        <v>0</v>
      </c>
      <c r="L27" s="564">
        <f t="shared" si="8"/>
        <v>35.03</v>
      </c>
      <c r="M27" s="329">
        <f t="shared" si="0"/>
        <v>0</v>
      </c>
      <c r="N27" s="172">
        <f t="shared" si="1"/>
        <v>0</v>
      </c>
      <c r="P27" s="485">
        <f t="shared" si="9"/>
        <v>0</v>
      </c>
    </row>
    <row r="28" spans="1:16" ht="10.5">
      <c r="A28" s="305">
        <f>'02'!A28</f>
        <v>39995</v>
      </c>
      <c r="B28" s="432">
        <v>0</v>
      </c>
      <c r="C28" s="432">
        <f t="shared" si="2"/>
        <v>0</v>
      </c>
      <c r="D28" s="432">
        <f>'01'!B28</f>
        <v>7.7</v>
      </c>
      <c r="E28" s="432">
        <f t="shared" si="3"/>
        <v>0</v>
      </c>
      <c r="F28" s="432">
        <v>0</v>
      </c>
      <c r="G28" s="432">
        <f t="shared" si="4"/>
        <v>0</v>
      </c>
      <c r="H28" s="432">
        <f t="shared" si="5"/>
        <v>0</v>
      </c>
      <c r="I28" s="432">
        <f t="shared" si="6"/>
        <v>0</v>
      </c>
      <c r="J28" s="91">
        <f>'02'!N28</f>
        <v>1.03350737</v>
      </c>
      <c r="K28" s="329">
        <f t="shared" si="7"/>
        <v>0</v>
      </c>
      <c r="L28" s="564">
        <f t="shared" si="8"/>
        <v>35.03</v>
      </c>
      <c r="M28" s="329">
        <f t="shared" si="0"/>
        <v>0</v>
      </c>
      <c r="N28" s="172">
        <f t="shared" si="1"/>
        <v>0</v>
      </c>
      <c r="P28" s="485">
        <f t="shared" si="9"/>
        <v>0</v>
      </c>
    </row>
    <row r="29" spans="1:16" ht="10.5">
      <c r="A29" s="305">
        <f>'02'!A29</f>
        <v>40026</v>
      </c>
      <c r="B29" s="432">
        <v>0</v>
      </c>
      <c r="C29" s="432">
        <f t="shared" si="2"/>
        <v>0</v>
      </c>
      <c r="D29" s="432">
        <f>'01'!B29</f>
        <v>7.7</v>
      </c>
      <c r="E29" s="432">
        <f t="shared" si="3"/>
        <v>0</v>
      </c>
      <c r="F29" s="432">
        <v>0</v>
      </c>
      <c r="G29" s="432">
        <f t="shared" si="4"/>
        <v>0</v>
      </c>
      <c r="H29" s="432">
        <f t="shared" si="5"/>
        <v>0</v>
      </c>
      <c r="I29" s="432">
        <f t="shared" si="6"/>
        <v>0</v>
      </c>
      <c r="J29" s="91">
        <f>'02'!N29</f>
        <v>1.03330381</v>
      </c>
      <c r="K29" s="329">
        <f t="shared" si="7"/>
        <v>0</v>
      </c>
      <c r="L29" s="564">
        <f t="shared" si="8"/>
        <v>35.03</v>
      </c>
      <c r="M29" s="329">
        <f t="shared" si="0"/>
        <v>0</v>
      </c>
      <c r="N29" s="172">
        <f t="shared" si="1"/>
        <v>0</v>
      </c>
      <c r="P29" s="485">
        <f t="shared" si="9"/>
        <v>0</v>
      </c>
    </row>
    <row r="30" spans="1:16" ht="10.5">
      <c r="A30" s="305">
        <f>'02'!A30</f>
        <v>40057</v>
      </c>
      <c r="B30" s="432">
        <v>0</v>
      </c>
      <c r="C30" s="432">
        <f>B30*20%</f>
        <v>0</v>
      </c>
      <c r="D30" s="432">
        <f>'01'!B30</f>
        <v>7.7</v>
      </c>
      <c r="E30" s="432">
        <f t="shared" si="3"/>
        <v>0</v>
      </c>
      <c r="F30" s="432">
        <v>0</v>
      </c>
      <c r="G30" s="432">
        <f t="shared" si="4"/>
        <v>0</v>
      </c>
      <c r="H30" s="432">
        <f t="shared" si="5"/>
        <v>0</v>
      </c>
      <c r="I30" s="432">
        <f t="shared" si="6"/>
        <v>0</v>
      </c>
      <c r="J30" s="91">
        <f>'02'!N30</f>
        <v>1.03330381</v>
      </c>
      <c r="K30" s="329">
        <f t="shared" si="7"/>
        <v>0</v>
      </c>
      <c r="L30" s="564">
        <f t="shared" si="8"/>
        <v>35.03</v>
      </c>
      <c r="M30" s="329">
        <f t="shared" si="0"/>
        <v>0</v>
      </c>
      <c r="N30" s="172">
        <f t="shared" si="1"/>
        <v>0</v>
      </c>
      <c r="P30" s="485">
        <f t="shared" si="9"/>
        <v>0</v>
      </c>
    </row>
    <row r="31" spans="1:16" ht="10.5">
      <c r="A31" s="305">
        <f>'02'!A31</f>
        <v>40087</v>
      </c>
      <c r="B31" s="432">
        <v>0</v>
      </c>
      <c r="C31" s="432">
        <f aca="true" t="shared" si="10" ref="C31:C53">B31*20%</f>
        <v>0</v>
      </c>
      <c r="D31" s="432">
        <f>'01'!B31</f>
        <v>7.7</v>
      </c>
      <c r="E31" s="432">
        <f t="shared" si="3"/>
        <v>0</v>
      </c>
      <c r="F31" s="432">
        <v>0</v>
      </c>
      <c r="G31" s="432">
        <f t="shared" si="4"/>
        <v>0</v>
      </c>
      <c r="H31" s="432">
        <f t="shared" si="5"/>
        <v>0</v>
      </c>
      <c r="I31" s="432">
        <f t="shared" si="6"/>
        <v>0</v>
      </c>
      <c r="J31" s="91">
        <f>'02'!N31</f>
        <v>1.03330381</v>
      </c>
      <c r="K31" s="329">
        <f t="shared" si="7"/>
        <v>0</v>
      </c>
      <c r="L31" s="564">
        <f t="shared" si="8"/>
        <v>35.03</v>
      </c>
      <c r="M31" s="329">
        <f t="shared" si="0"/>
        <v>0</v>
      </c>
      <c r="N31" s="172">
        <f t="shared" si="1"/>
        <v>0</v>
      </c>
      <c r="P31" s="485">
        <f t="shared" si="9"/>
        <v>0</v>
      </c>
    </row>
    <row r="32" spans="1:16" ht="10.5">
      <c r="A32" s="305">
        <f>'02'!A32</f>
        <v>40118</v>
      </c>
      <c r="B32" s="432">
        <v>0</v>
      </c>
      <c r="C32" s="432">
        <f t="shared" si="10"/>
        <v>0</v>
      </c>
      <c r="D32" s="432">
        <f>'01'!B32</f>
        <v>7.7</v>
      </c>
      <c r="E32" s="432">
        <v>0</v>
      </c>
      <c r="F32" s="432">
        <v>0</v>
      </c>
      <c r="G32" s="432">
        <f t="shared" si="4"/>
        <v>0</v>
      </c>
      <c r="H32" s="432">
        <f t="shared" si="5"/>
        <v>0</v>
      </c>
      <c r="I32" s="432">
        <f t="shared" si="6"/>
        <v>0</v>
      </c>
      <c r="J32" s="91">
        <f>'02'!N32</f>
        <v>1.03330381</v>
      </c>
      <c r="K32" s="329">
        <f t="shared" si="7"/>
        <v>0</v>
      </c>
      <c r="L32" s="564">
        <f t="shared" si="8"/>
        <v>35.03</v>
      </c>
      <c r="M32" s="329">
        <f t="shared" si="0"/>
        <v>0</v>
      </c>
      <c r="N32" s="172">
        <f t="shared" si="1"/>
        <v>0</v>
      </c>
      <c r="P32" s="485">
        <f t="shared" si="9"/>
        <v>0</v>
      </c>
    </row>
    <row r="33" spans="1:16" ht="10.5">
      <c r="A33" s="305">
        <f>'02'!A33</f>
        <v>40148</v>
      </c>
      <c r="B33" s="432">
        <v>0</v>
      </c>
      <c r="C33" s="432">
        <f t="shared" si="10"/>
        <v>0</v>
      </c>
      <c r="D33" s="432">
        <f>'01'!B33</f>
        <v>7.7</v>
      </c>
      <c r="E33" s="432">
        <f t="shared" si="3"/>
        <v>0</v>
      </c>
      <c r="F33" s="432">
        <v>0</v>
      </c>
      <c r="G33" s="432">
        <f t="shared" si="4"/>
        <v>0</v>
      </c>
      <c r="H33" s="432">
        <f t="shared" si="5"/>
        <v>0</v>
      </c>
      <c r="I33" s="432">
        <f t="shared" si="6"/>
        <v>0</v>
      </c>
      <c r="J33" s="91">
        <f>'02'!N33</f>
        <v>1.03275335</v>
      </c>
      <c r="K33" s="329">
        <f t="shared" si="7"/>
        <v>0</v>
      </c>
      <c r="L33" s="564">
        <f t="shared" si="8"/>
        <v>35.03</v>
      </c>
      <c r="M33" s="329">
        <f t="shared" si="0"/>
        <v>0</v>
      </c>
      <c r="N33" s="172">
        <f t="shared" si="1"/>
        <v>0</v>
      </c>
      <c r="P33" s="485">
        <f t="shared" si="9"/>
        <v>0</v>
      </c>
    </row>
    <row r="34" spans="1:16" ht="10.5">
      <c r="A34" s="305">
        <f>'02'!A34</f>
        <v>40179</v>
      </c>
      <c r="B34" s="432">
        <v>0</v>
      </c>
      <c r="C34" s="432">
        <f t="shared" si="10"/>
        <v>0</v>
      </c>
      <c r="D34" s="432">
        <f>'01'!B34</f>
        <v>7.7</v>
      </c>
      <c r="E34" s="432">
        <f t="shared" si="3"/>
        <v>0</v>
      </c>
      <c r="F34" s="432">
        <v>0</v>
      </c>
      <c r="G34" s="432">
        <f t="shared" si="4"/>
        <v>0</v>
      </c>
      <c r="H34" s="432">
        <f t="shared" si="5"/>
        <v>0</v>
      </c>
      <c r="I34" s="432">
        <f t="shared" si="6"/>
        <v>0</v>
      </c>
      <c r="J34" s="91">
        <f>'02'!N34</f>
        <v>1.03275335</v>
      </c>
      <c r="K34" s="329">
        <f t="shared" si="7"/>
        <v>0</v>
      </c>
      <c r="L34" s="564">
        <f t="shared" si="8"/>
        <v>35.03</v>
      </c>
      <c r="M34" s="329">
        <f t="shared" si="0"/>
        <v>0</v>
      </c>
      <c r="N34" s="172">
        <f t="shared" si="1"/>
        <v>0</v>
      </c>
      <c r="P34" s="485">
        <f t="shared" si="9"/>
        <v>0</v>
      </c>
    </row>
    <row r="35" spans="1:16" ht="10.5">
      <c r="A35" s="305">
        <f>'02'!A35</f>
        <v>40210</v>
      </c>
      <c r="B35" s="432">
        <v>0</v>
      </c>
      <c r="C35" s="432">
        <f t="shared" si="10"/>
        <v>0</v>
      </c>
      <c r="D35" s="432">
        <f>'01'!B35</f>
        <v>7.7</v>
      </c>
      <c r="E35" s="432">
        <f t="shared" si="3"/>
        <v>0</v>
      </c>
      <c r="F35" s="432">
        <v>0</v>
      </c>
      <c r="G35" s="432">
        <f t="shared" si="4"/>
        <v>0</v>
      </c>
      <c r="H35" s="432">
        <f t="shared" si="5"/>
        <v>0</v>
      </c>
      <c r="I35" s="432">
        <f t="shared" si="6"/>
        <v>0</v>
      </c>
      <c r="J35" s="91">
        <f>'02'!N35</f>
        <v>1.03275335</v>
      </c>
      <c r="K35" s="329">
        <f t="shared" si="7"/>
        <v>0</v>
      </c>
      <c r="L35" s="564">
        <f t="shared" si="8"/>
        <v>35.03</v>
      </c>
      <c r="M35" s="329">
        <f t="shared" si="0"/>
        <v>0</v>
      </c>
      <c r="N35" s="172">
        <f t="shared" si="1"/>
        <v>0</v>
      </c>
      <c r="P35" s="485">
        <f t="shared" si="9"/>
        <v>0</v>
      </c>
    </row>
    <row r="36" spans="1:16" ht="10.5">
      <c r="A36" s="305">
        <f>'02'!A36</f>
        <v>40238</v>
      </c>
      <c r="B36" s="432">
        <v>0</v>
      </c>
      <c r="C36" s="432">
        <f t="shared" si="10"/>
        <v>0</v>
      </c>
      <c r="D36" s="432">
        <f>'01'!B36</f>
        <v>7.7</v>
      </c>
      <c r="E36" s="432">
        <f t="shared" si="3"/>
        <v>0</v>
      </c>
      <c r="F36" s="432">
        <v>0</v>
      </c>
      <c r="G36" s="432">
        <f t="shared" si="4"/>
        <v>0</v>
      </c>
      <c r="H36" s="432">
        <f t="shared" si="5"/>
        <v>0</v>
      </c>
      <c r="I36" s="432">
        <f t="shared" si="6"/>
        <v>0</v>
      </c>
      <c r="J36" s="91">
        <f>'02'!N36</f>
        <v>1.03193606</v>
      </c>
      <c r="K36" s="329">
        <f t="shared" si="7"/>
        <v>0</v>
      </c>
      <c r="L36" s="564">
        <f t="shared" si="8"/>
        <v>35.03</v>
      </c>
      <c r="M36" s="329">
        <f t="shared" si="0"/>
        <v>0</v>
      </c>
      <c r="N36" s="172">
        <f t="shared" si="1"/>
        <v>0</v>
      </c>
      <c r="P36" s="485">
        <f t="shared" si="9"/>
        <v>0</v>
      </c>
    </row>
    <row r="37" spans="1:16" ht="10.5">
      <c r="A37" s="305">
        <f>'02'!A37</f>
        <v>40269</v>
      </c>
      <c r="B37" s="432">
        <v>0</v>
      </c>
      <c r="C37" s="432">
        <f t="shared" si="10"/>
        <v>0</v>
      </c>
      <c r="D37" s="432">
        <f>'01'!B37</f>
        <v>7.7</v>
      </c>
      <c r="E37" s="432">
        <f t="shared" si="3"/>
        <v>0</v>
      </c>
      <c r="F37" s="432">
        <v>0</v>
      </c>
      <c r="G37" s="432">
        <f t="shared" si="4"/>
        <v>0</v>
      </c>
      <c r="H37" s="432">
        <f t="shared" si="5"/>
        <v>0</v>
      </c>
      <c r="I37" s="432">
        <f t="shared" si="6"/>
        <v>0</v>
      </c>
      <c r="J37" s="91">
        <f>'02'!N37</f>
        <v>1.03193606</v>
      </c>
      <c r="K37" s="329">
        <f t="shared" si="7"/>
        <v>0</v>
      </c>
      <c r="L37" s="564">
        <f t="shared" si="8"/>
        <v>35.03</v>
      </c>
      <c r="M37" s="329">
        <f t="shared" si="0"/>
        <v>0</v>
      </c>
      <c r="N37" s="172">
        <f t="shared" si="1"/>
        <v>0</v>
      </c>
      <c r="P37" s="485">
        <f t="shared" si="9"/>
        <v>0</v>
      </c>
    </row>
    <row r="38" spans="1:16" ht="10.5">
      <c r="A38" s="305">
        <f>'02'!A38</f>
        <v>40299</v>
      </c>
      <c r="B38" s="432">
        <v>4.33</v>
      </c>
      <c r="C38" s="432">
        <f t="shared" si="10"/>
        <v>0.87</v>
      </c>
      <c r="D38" s="432">
        <f>'01'!B38</f>
        <v>8.32</v>
      </c>
      <c r="E38" s="432">
        <f t="shared" si="3"/>
        <v>7.24</v>
      </c>
      <c r="F38" s="483">
        <v>4.16</v>
      </c>
      <c r="G38" s="432">
        <f t="shared" si="4"/>
        <v>3.08</v>
      </c>
      <c r="H38" s="432">
        <f t="shared" si="5"/>
        <v>0.34</v>
      </c>
      <c r="I38" s="432">
        <f t="shared" si="6"/>
        <v>3.42</v>
      </c>
      <c r="J38" s="91">
        <f>'02'!N38</f>
        <v>1.03141004</v>
      </c>
      <c r="K38" s="329">
        <f t="shared" si="7"/>
        <v>3.53</v>
      </c>
      <c r="L38" s="564">
        <f t="shared" si="8"/>
        <v>35.03</v>
      </c>
      <c r="M38" s="329">
        <f t="shared" si="0"/>
        <v>1.24</v>
      </c>
      <c r="N38" s="172">
        <f t="shared" si="1"/>
        <v>4.77</v>
      </c>
      <c r="P38" s="485">
        <f t="shared" si="9"/>
        <v>0.35</v>
      </c>
    </row>
    <row r="39" spans="1:16" ht="10.5">
      <c r="A39" s="305">
        <f>'02'!A39</f>
        <v>40330</v>
      </c>
      <c r="B39" s="432">
        <v>95.3</v>
      </c>
      <c r="C39" s="432">
        <f t="shared" si="10"/>
        <v>19.06</v>
      </c>
      <c r="D39" s="432">
        <f>'01'!B39</f>
        <v>8.32</v>
      </c>
      <c r="E39" s="432">
        <f t="shared" si="3"/>
        <v>158.58</v>
      </c>
      <c r="F39" s="483">
        <v>124.8</v>
      </c>
      <c r="G39" s="432">
        <f t="shared" si="4"/>
        <v>33.78</v>
      </c>
      <c r="H39" s="432">
        <f t="shared" si="5"/>
        <v>3.78</v>
      </c>
      <c r="I39" s="432">
        <f t="shared" si="6"/>
        <v>37.56</v>
      </c>
      <c r="J39" s="91">
        <f>'02'!N39</f>
        <v>1.03080289</v>
      </c>
      <c r="K39" s="329">
        <f t="shared" si="7"/>
        <v>38.72</v>
      </c>
      <c r="L39" s="564">
        <f t="shared" si="8"/>
        <v>35.03</v>
      </c>
      <c r="M39" s="329">
        <f t="shared" si="0"/>
        <v>13.56</v>
      </c>
      <c r="N39" s="172">
        <f t="shared" si="1"/>
        <v>52.28</v>
      </c>
      <c r="P39" s="485">
        <f t="shared" si="9"/>
        <v>3.9</v>
      </c>
    </row>
    <row r="40" spans="1:16" ht="10.5">
      <c r="A40" s="305">
        <f>'02'!A40</f>
        <v>40360</v>
      </c>
      <c r="B40" s="432">
        <v>105.12</v>
      </c>
      <c r="C40" s="432">
        <f t="shared" si="10"/>
        <v>21.02</v>
      </c>
      <c r="D40" s="432">
        <f>'01'!B40</f>
        <v>8.32</v>
      </c>
      <c r="E40" s="432">
        <f t="shared" si="3"/>
        <v>174.89</v>
      </c>
      <c r="F40" s="483">
        <v>135.2</v>
      </c>
      <c r="G40" s="432">
        <f t="shared" si="4"/>
        <v>39.69</v>
      </c>
      <c r="H40" s="432">
        <f t="shared" si="5"/>
        <v>4.45</v>
      </c>
      <c r="I40" s="432">
        <f t="shared" si="6"/>
        <v>44.14</v>
      </c>
      <c r="J40" s="91">
        <f>'02'!N40</f>
        <v>1.0296178</v>
      </c>
      <c r="K40" s="329">
        <f t="shared" si="7"/>
        <v>45.45</v>
      </c>
      <c r="L40" s="564">
        <f t="shared" si="8"/>
        <v>35.03</v>
      </c>
      <c r="M40" s="329">
        <f t="shared" si="0"/>
        <v>15.92</v>
      </c>
      <c r="N40" s="172">
        <f t="shared" si="1"/>
        <v>61.37</v>
      </c>
      <c r="P40" s="485">
        <f t="shared" si="9"/>
        <v>4.58</v>
      </c>
    </row>
    <row r="41" spans="1:16" ht="10.5">
      <c r="A41" s="305">
        <f>'02'!A41</f>
        <v>40391</v>
      </c>
      <c r="B41" s="432">
        <v>2.16</v>
      </c>
      <c r="C41" s="432">
        <f t="shared" si="10"/>
        <v>0.43</v>
      </c>
      <c r="D41" s="432">
        <f>'01'!B41</f>
        <v>8.32</v>
      </c>
      <c r="E41" s="432">
        <f t="shared" si="3"/>
        <v>3.58</v>
      </c>
      <c r="F41" s="483">
        <v>7.49</v>
      </c>
      <c r="G41" s="432">
        <v>0</v>
      </c>
      <c r="H41" s="432">
        <f t="shared" si="5"/>
        <v>0</v>
      </c>
      <c r="I41" s="432">
        <f t="shared" si="6"/>
        <v>0</v>
      </c>
      <c r="J41" s="91">
        <f>'02'!N41</f>
        <v>1.02868273</v>
      </c>
      <c r="K41" s="329">
        <f t="shared" si="7"/>
        <v>0</v>
      </c>
      <c r="L41" s="564">
        <f t="shared" si="8"/>
        <v>35.03</v>
      </c>
      <c r="M41" s="329">
        <f t="shared" si="0"/>
        <v>0</v>
      </c>
      <c r="N41" s="172">
        <f t="shared" si="1"/>
        <v>0</v>
      </c>
      <c r="P41" s="485">
        <f t="shared" si="9"/>
        <v>0</v>
      </c>
    </row>
    <row r="42" spans="1:16" ht="10.5">
      <c r="A42" s="305">
        <f>'02'!A42</f>
        <v>40422</v>
      </c>
      <c r="B42" s="432">
        <v>2.16</v>
      </c>
      <c r="C42" s="432">
        <f t="shared" si="10"/>
        <v>0.43</v>
      </c>
      <c r="D42" s="432">
        <f>'01'!B42</f>
        <v>8.32</v>
      </c>
      <c r="E42" s="432">
        <f t="shared" si="3"/>
        <v>3.58</v>
      </c>
      <c r="F42" s="483">
        <v>0</v>
      </c>
      <c r="G42" s="432">
        <f t="shared" si="4"/>
        <v>3.58</v>
      </c>
      <c r="H42" s="432">
        <f t="shared" si="5"/>
        <v>0.4</v>
      </c>
      <c r="I42" s="432">
        <f t="shared" si="6"/>
        <v>3.98</v>
      </c>
      <c r="J42" s="91">
        <f>'02'!N42</f>
        <v>1.0279611</v>
      </c>
      <c r="K42" s="329">
        <f t="shared" si="7"/>
        <v>4.09</v>
      </c>
      <c r="L42" s="564">
        <f t="shared" si="8"/>
        <v>35.03</v>
      </c>
      <c r="M42" s="329">
        <f t="shared" si="0"/>
        <v>1.43</v>
      </c>
      <c r="N42" s="172">
        <f t="shared" si="1"/>
        <v>5.52</v>
      </c>
      <c r="P42" s="485">
        <f t="shared" si="9"/>
        <v>0.41</v>
      </c>
    </row>
    <row r="43" spans="1:16" ht="10.5">
      <c r="A43" s="305">
        <f>'02'!A43</f>
        <v>40452</v>
      </c>
      <c r="B43" s="432">
        <v>2.52</v>
      </c>
      <c r="C43" s="432">
        <f t="shared" si="10"/>
        <v>0.5</v>
      </c>
      <c r="D43" s="432">
        <f>'01'!B43</f>
        <v>8.32</v>
      </c>
      <c r="E43" s="432">
        <f t="shared" si="3"/>
        <v>4.16</v>
      </c>
      <c r="F43" s="483">
        <v>4.99</v>
      </c>
      <c r="G43" s="432">
        <v>0</v>
      </c>
      <c r="H43" s="432">
        <f t="shared" si="5"/>
        <v>0</v>
      </c>
      <c r="I43" s="432">
        <f t="shared" si="6"/>
        <v>0</v>
      </c>
      <c r="J43" s="91">
        <f>'02'!N43</f>
        <v>1.02747613</v>
      </c>
      <c r="K43" s="329">
        <f t="shared" si="7"/>
        <v>0</v>
      </c>
      <c r="L43" s="564">
        <f t="shared" si="8"/>
        <v>35.03</v>
      </c>
      <c r="M43" s="329">
        <f t="shared" si="0"/>
        <v>0</v>
      </c>
      <c r="N43" s="172">
        <f t="shared" si="1"/>
        <v>0</v>
      </c>
      <c r="P43" s="485">
        <f t="shared" si="9"/>
        <v>0</v>
      </c>
    </row>
    <row r="44" spans="1:16" ht="10.5">
      <c r="A44" s="305">
        <f>'02'!A44</f>
        <v>40483</v>
      </c>
      <c r="B44" s="432">
        <v>0</v>
      </c>
      <c r="C44" s="432">
        <f t="shared" si="10"/>
        <v>0</v>
      </c>
      <c r="D44" s="432">
        <f>'01'!B44</f>
        <v>8.32</v>
      </c>
      <c r="E44" s="432">
        <f t="shared" si="3"/>
        <v>0</v>
      </c>
      <c r="F44" s="483">
        <v>0</v>
      </c>
      <c r="G44" s="432">
        <f t="shared" si="4"/>
        <v>0</v>
      </c>
      <c r="H44" s="432">
        <f t="shared" si="5"/>
        <v>0</v>
      </c>
      <c r="I44" s="432">
        <f t="shared" si="6"/>
        <v>0</v>
      </c>
      <c r="J44" s="91">
        <f>'02'!N44</f>
        <v>1.02713102</v>
      </c>
      <c r="K44" s="329">
        <f t="shared" si="7"/>
        <v>0</v>
      </c>
      <c r="L44" s="564">
        <f t="shared" si="8"/>
        <v>35.03</v>
      </c>
      <c r="M44" s="329">
        <f t="shared" si="0"/>
        <v>0</v>
      </c>
      <c r="N44" s="172">
        <f t="shared" si="1"/>
        <v>0</v>
      </c>
      <c r="P44" s="485">
        <f t="shared" si="9"/>
        <v>0</v>
      </c>
    </row>
    <row r="45" spans="1:16" ht="10.5">
      <c r="A45" s="305">
        <f>'02'!A45</f>
        <v>40513</v>
      </c>
      <c r="B45" s="432">
        <v>125.33</v>
      </c>
      <c r="C45" s="432">
        <f t="shared" si="10"/>
        <v>25.07</v>
      </c>
      <c r="D45" s="432">
        <f>'01'!B45</f>
        <v>8.32</v>
      </c>
      <c r="E45" s="432">
        <f t="shared" si="3"/>
        <v>208.58</v>
      </c>
      <c r="F45" s="483">
        <v>339.46</v>
      </c>
      <c r="G45" s="432">
        <v>0</v>
      </c>
      <c r="H45" s="432">
        <f t="shared" si="5"/>
        <v>0</v>
      </c>
      <c r="I45" s="432">
        <f t="shared" si="6"/>
        <v>0</v>
      </c>
      <c r="J45" s="91">
        <f>'02'!N45</f>
        <v>1.0256889</v>
      </c>
      <c r="K45" s="329">
        <f t="shared" si="7"/>
        <v>0</v>
      </c>
      <c r="L45" s="564">
        <f t="shared" si="8"/>
        <v>35.03</v>
      </c>
      <c r="M45" s="329">
        <f t="shared" si="0"/>
        <v>0</v>
      </c>
      <c r="N45" s="172">
        <f t="shared" si="1"/>
        <v>0</v>
      </c>
      <c r="P45" s="485">
        <f t="shared" si="9"/>
        <v>0</v>
      </c>
    </row>
    <row r="46" spans="1:16" ht="10.5">
      <c r="A46" s="305">
        <f>'02'!A46</f>
        <v>40544</v>
      </c>
      <c r="B46" s="432">
        <v>175.07</v>
      </c>
      <c r="C46" s="432">
        <f t="shared" si="10"/>
        <v>35.01</v>
      </c>
      <c r="D46" s="432">
        <f>'01'!B46</f>
        <v>8.32</v>
      </c>
      <c r="E46" s="432">
        <f t="shared" si="3"/>
        <v>291.28</v>
      </c>
      <c r="F46" s="483">
        <v>549.12</v>
      </c>
      <c r="G46" s="432">
        <v>0</v>
      </c>
      <c r="H46" s="432">
        <f t="shared" si="5"/>
        <v>0</v>
      </c>
      <c r="I46" s="432">
        <f t="shared" si="6"/>
        <v>0</v>
      </c>
      <c r="J46" s="91">
        <f>'02'!N46</f>
        <v>1.02495606</v>
      </c>
      <c r="K46" s="329">
        <f t="shared" si="7"/>
        <v>0</v>
      </c>
      <c r="L46" s="564">
        <f t="shared" si="8"/>
        <v>35.03</v>
      </c>
      <c r="M46" s="329">
        <f t="shared" si="0"/>
        <v>0</v>
      </c>
      <c r="N46" s="172">
        <f t="shared" si="1"/>
        <v>0</v>
      </c>
      <c r="P46" s="485">
        <f t="shared" si="9"/>
        <v>0</v>
      </c>
    </row>
    <row r="47" spans="1:16" ht="10.5">
      <c r="A47" s="305">
        <f>'02'!A47</f>
        <v>40575</v>
      </c>
      <c r="B47" s="432">
        <v>78.03</v>
      </c>
      <c r="C47" s="432">
        <f t="shared" si="10"/>
        <v>15.61</v>
      </c>
      <c r="D47" s="432">
        <f>'01'!B47</f>
        <v>8.32</v>
      </c>
      <c r="E47" s="432">
        <f t="shared" si="3"/>
        <v>129.88</v>
      </c>
      <c r="F47" s="483">
        <v>139.78</v>
      </c>
      <c r="G47" s="432">
        <v>0</v>
      </c>
      <c r="H47" s="432">
        <f t="shared" si="5"/>
        <v>0</v>
      </c>
      <c r="I47" s="432">
        <f t="shared" si="6"/>
        <v>0</v>
      </c>
      <c r="J47" s="91">
        <f>'02'!N47</f>
        <v>1.02441926</v>
      </c>
      <c r="K47" s="329">
        <f t="shared" si="7"/>
        <v>0</v>
      </c>
      <c r="L47" s="564">
        <f t="shared" si="8"/>
        <v>35.03</v>
      </c>
      <c r="M47" s="329">
        <f t="shared" si="0"/>
        <v>0</v>
      </c>
      <c r="N47" s="172">
        <f t="shared" si="1"/>
        <v>0</v>
      </c>
      <c r="P47" s="485">
        <f t="shared" si="9"/>
        <v>0</v>
      </c>
    </row>
    <row r="48" spans="1:16" ht="10.5">
      <c r="A48" s="305">
        <f>'02'!A48</f>
        <v>40603</v>
      </c>
      <c r="B48" s="432">
        <v>29.28</v>
      </c>
      <c r="C48" s="432">
        <f t="shared" si="10"/>
        <v>5.86</v>
      </c>
      <c r="D48" s="432">
        <f>'01'!B48</f>
        <v>8.32</v>
      </c>
      <c r="E48" s="432">
        <f t="shared" si="3"/>
        <v>48.76</v>
      </c>
      <c r="F48" s="483">
        <v>79.87</v>
      </c>
      <c r="G48" s="432">
        <v>0</v>
      </c>
      <c r="H48" s="432">
        <f t="shared" si="5"/>
        <v>0</v>
      </c>
      <c r="I48" s="432">
        <f t="shared" si="6"/>
        <v>0</v>
      </c>
      <c r="J48" s="91">
        <f>'02'!N48</f>
        <v>1.02317917</v>
      </c>
      <c r="K48" s="329">
        <f t="shared" si="7"/>
        <v>0</v>
      </c>
      <c r="L48" s="564">
        <f t="shared" si="8"/>
        <v>35.03</v>
      </c>
      <c r="M48" s="329">
        <f t="shared" si="0"/>
        <v>0</v>
      </c>
      <c r="N48" s="172">
        <f t="shared" si="1"/>
        <v>0</v>
      </c>
      <c r="P48" s="485">
        <f t="shared" si="9"/>
        <v>0</v>
      </c>
    </row>
    <row r="49" spans="1:16" ht="10.5">
      <c r="A49" s="305">
        <f>'02'!A49</f>
        <v>40634</v>
      </c>
      <c r="B49" s="432">
        <v>0</v>
      </c>
      <c r="C49" s="432">
        <f t="shared" si="10"/>
        <v>0</v>
      </c>
      <c r="D49" s="432">
        <f>'01'!B49</f>
        <v>8.32</v>
      </c>
      <c r="E49" s="432">
        <f t="shared" si="3"/>
        <v>0</v>
      </c>
      <c r="F49" s="483">
        <v>0</v>
      </c>
      <c r="G49" s="432">
        <f t="shared" si="4"/>
        <v>0</v>
      </c>
      <c r="H49" s="432">
        <f t="shared" si="5"/>
        <v>0</v>
      </c>
      <c r="I49" s="432">
        <f t="shared" si="6"/>
        <v>0</v>
      </c>
      <c r="J49" s="91">
        <f>'02'!N49</f>
        <v>1.02280175</v>
      </c>
      <c r="K49" s="329">
        <f t="shared" si="7"/>
        <v>0</v>
      </c>
      <c r="L49" s="564">
        <f t="shared" si="8"/>
        <v>35.03</v>
      </c>
      <c r="M49" s="329">
        <f t="shared" si="0"/>
        <v>0</v>
      </c>
      <c r="N49" s="172">
        <f t="shared" si="1"/>
        <v>0</v>
      </c>
      <c r="P49" s="485">
        <f t="shared" si="9"/>
        <v>0</v>
      </c>
    </row>
    <row r="50" spans="1:16" ht="10.5">
      <c r="A50" s="305">
        <f>'02'!A50</f>
        <v>40664</v>
      </c>
      <c r="B50" s="432">
        <v>0</v>
      </c>
      <c r="C50" s="432">
        <f t="shared" si="10"/>
        <v>0</v>
      </c>
      <c r="D50" s="432">
        <f>'01'!B50</f>
        <v>9.13</v>
      </c>
      <c r="E50" s="432">
        <f t="shared" si="3"/>
        <v>0</v>
      </c>
      <c r="F50" s="432">
        <v>0</v>
      </c>
      <c r="G50" s="432">
        <f t="shared" si="4"/>
        <v>0</v>
      </c>
      <c r="H50" s="432">
        <f t="shared" si="5"/>
        <v>0</v>
      </c>
      <c r="I50" s="432">
        <f t="shared" si="6"/>
        <v>0</v>
      </c>
      <c r="J50" s="91">
        <f>'02'!N50</f>
        <v>1.02119847</v>
      </c>
      <c r="K50" s="329">
        <f t="shared" si="7"/>
        <v>0</v>
      </c>
      <c r="L50" s="564">
        <f t="shared" si="8"/>
        <v>35.03</v>
      </c>
      <c r="M50" s="329">
        <f t="shared" si="0"/>
        <v>0</v>
      </c>
      <c r="N50" s="172">
        <f t="shared" si="1"/>
        <v>0</v>
      </c>
      <c r="P50" s="485">
        <f t="shared" si="9"/>
        <v>0</v>
      </c>
    </row>
    <row r="51" spans="1:16" ht="10.5">
      <c r="A51" s="305">
        <f>'02'!A51</f>
        <v>40695</v>
      </c>
      <c r="B51" s="432">
        <v>0</v>
      </c>
      <c r="C51" s="432">
        <f t="shared" si="10"/>
        <v>0</v>
      </c>
      <c r="D51" s="432">
        <f>'01'!B51</f>
        <v>9.13</v>
      </c>
      <c r="E51" s="432">
        <f t="shared" si="3"/>
        <v>0</v>
      </c>
      <c r="F51" s="432">
        <v>0</v>
      </c>
      <c r="G51" s="432">
        <f t="shared" si="4"/>
        <v>0</v>
      </c>
      <c r="H51" s="432">
        <f t="shared" si="5"/>
        <v>0</v>
      </c>
      <c r="I51" s="432">
        <f t="shared" si="6"/>
        <v>0</v>
      </c>
      <c r="J51" s="91">
        <f>'02'!N51</f>
        <v>1.02006212</v>
      </c>
      <c r="K51" s="329">
        <f t="shared" si="7"/>
        <v>0</v>
      </c>
      <c r="L51" s="564">
        <f t="shared" si="8"/>
        <v>35.03</v>
      </c>
      <c r="M51" s="329">
        <f t="shared" si="0"/>
        <v>0</v>
      </c>
      <c r="N51" s="172">
        <f t="shared" si="1"/>
        <v>0</v>
      </c>
      <c r="P51" s="485">
        <f t="shared" si="9"/>
        <v>0</v>
      </c>
    </row>
    <row r="52" spans="1:16" ht="10.5">
      <c r="A52" s="305">
        <f>'02'!A52</f>
        <v>40725</v>
      </c>
      <c r="B52" s="432">
        <v>0</v>
      </c>
      <c r="C52" s="432">
        <f t="shared" si="10"/>
        <v>0</v>
      </c>
      <c r="D52" s="432">
        <f>'01'!B52</f>
        <v>9.13</v>
      </c>
      <c r="E52" s="432">
        <f t="shared" si="3"/>
        <v>0</v>
      </c>
      <c r="F52" s="432">
        <v>0</v>
      </c>
      <c r="G52" s="432">
        <f t="shared" si="4"/>
        <v>0</v>
      </c>
      <c r="H52" s="432">
        <f t="shared" si="5"/>
        <v>0</v>
      </c>
      <c r="I52" s="432">
        <f t="shared" si="6"/>
        <v>0</v>
      </c>
      <c r="J52" s="91">
        <f>'02'!N52</f>
        <v>1.01881001</v>
      </c>
      <c r="K52" s="329">
        <f t="shared" si="7"/>
        <v>0</v>
      </c>
      <c r="L52" s="564">
        <f t="shared" si="8"/>
        <v>35.03</v>
      </c>
      <c r="M52" s="329">
        <f t="shared" si="0"/>
        <v>0</v>
      </c>
      <c r="N52" s="172">
        <f t="shared" si="1"/>
        <v>0</v>
      </c>
      <c r="P52" s="485">
        <f t="shared" si="9"/>
        <v>0</v>
      </c>
    </row>
    <row r="53" spans="1:16" ht="10.5">
      <c r="A53" s="305">
        <f>'02'!A53</f>
        <v>40756</v>
      </c>
      <c r="B53" s="432">
        <v>0</v>
      </c>
      <c r="C53" s="432">
        <f t="shared" si="10"/>
        <v>0</v>
      </c>
      <c r="D53" s="432">
        <f>'01'!B53</f>
        <v>9.13</v>
      </c>
      <c r="E53" s="432">
        <f t="shared" si="3"/>
        <v>0</v>
      </c>
      <c r="F53" s="432">
        <v>0</v>
      </c>
      <c r="G53" s="432">
        <f t="shared" si="4"/>
        <v>0</v>
      </c>
      <c r="H53" s="432">
        <f t="shared" si="5"/>
        <v>0</v>
      </c>
      <c r="I53" s="432">
        <f t="shared" si="6"/>
        <v>0</v>
      </c>
      <c r="J53" s="91">
        <f>'02'!N53</f>
        <v>1.01669934</v>
      </c>
      <c r="K53" s="329">
        <f t="shared" si="7"/>
        <v>0</v>
      </c>
      <c r="L53" s="564">
        <f t="shared" si="8"/>
        <v>35.03</v>
      </c>
      <c r="M53" s="329">
        <f t="shared" si="0"/>
        <v>0</v>
      </c>
      <c r="N53" s="172">
        <f t="shared" si="1"/>
        <v>0</v>
      </c>
      <c r="P53" s="485">
        <f t="shared" si="9"/>
        <v>0</v>
      </c>
    </row>
    <row r="54" spans="1:15" s="387" customFormat="1" ht="10.5">
      <c r="A54" s="390"/>
      <c r="B54" s="565"/>
      <c r="C54" s="565"/>
      <c r="D54" s="565"/>
      <c r="E54" s="565"/>
      <c r="F54" s="566"/>
      <c r="G54" s="565"/>
      <c r="H54" s="565"/>
      <c r="I54" s="565"/>
      <c r="J54" s="504"/>
      <c r="K54" s="354"/>
      <c r="L54" s="567"/>
      <c r="M54" s="354"/>
      <c r="N54" s="357"/>
      <c r="O54" s="568"/>
    </row>
    <row r="55" spans="3:16" s="568" customFormat="1" ht="12.75" customHeight="1">
      <c r="C55" s="570"/>
      <c r="D55" s="570"/>
      <c r="E55" s="570">
        <f>SUM(E22:E53)</f>
        <v>1030.53</v>
      </c>
      <c r="F55" s="570">
        <f>SUM(F22:F53)</f>
        <v>1384.87</v>
      </c>
      <c r="G55" s="570">
        <f>SUM(G22:G53)</f>
        <v>80.13</v>
      </c>
      <c r="H55" s="570">
        <f>SUM(H22:H53)</f>
        <v>8.97</v>
      </c>
      <c r="I55" s="570">
        <f>SUM(I22:I53)</f>
        <v>89.1</v>
      </c>
      <c r="J55" s="562"/>
      <c r="K55" s="570">
        <f>SUM(K22:K53)</f>
        <v>91.79</v>
      </c>
      <c r="L55" s="562"/>
      <c r="M55" s="570">
        <f>SUM(M22:M53)</f>
        <v>32.15</v>
      </c>
      <c r="N55" s="570">
        <f>SUM(N22:N53)</f>
        <v>123.94</v>
      </c>
      <c r="P55" s="570">
        <f>SUM(P22:P53)</f>
        <v>9.24</v>
      </c>
    </row>
    <row r="56" spans="3:16" s="568" customFormat="1" ht="10.5" customHeight="1">
      <c r="C56" s="570"/>
      <c r="D56" s="570"/>
      <c r="E56" s="570"/>
      <c r="F56" s="570"/>
      <c r="G56" s="570"/>
      <c r="H56" s="570"/>
      <c r="I56" s="570"/>
      <c r="J56" s="562"/>
      <c r="K56" s="570"/>
      <c r="L56" s="562"/>
      <c r="M56" s="570"/>
      <c r="N56" s="570"/>
      <c r="P56" s="570"/>
    </row>
    <row r="57" spans="6:15" s="387" customFormat="1" ht="10.5">
      <c r="F57" s="569"/>
      <c r="G57" s="570"/>
      <c r="H57" s="569"/>
      <c r="J57" s="190"/>
      <c r="K57" s="354"/>
      <c r="L57" s="190"/>
      <c r="M57" s="354"/>
      <c r="N57" s="354"/>
      <c r="O57" s="568"/>
    </row>
    <row r="58" spans="10:15" s="387" customFormat="1" ht="10.5" customHeight="1">
      <c r="J58" s="132"/>
      <c r="K58" s="132" t="s">
        <v>457</v>
      </c>
      <c r="L58" s="132"/>
      <c r="M58" s="354"/>
      <c r="N58" s="354"/>
      <c r="O58" s="568"/>
    </row>
    <row r="59" spans="10:15" ht="10.5" customHeight="1">
      <c r="J59" s="613" t="s">
        <v>458</v>
      </c>
      <c r="K59" s="132"/>
      <c r="L59" s="132"/>
      <c r="M59" s="571"/>
      <c r="N59" s="571"/>
      <c r="O59" s="399"/>
    </row>
  </sheetData>
  <sheetProtection/>
  <printOptions/>
  <pageMargins left="0.984251968503937" right="0.5118110236220472" top="0.7874015748031497" bottom="0.5905511811023623" header="0.31496062992125984" footer="0.31496062992125984"/>
  <pageSetup horizontalDpi="600" verticalDpi="600" orientation="landscape" paperSize="9" r:id="rId1"/>
  <headerFooter>
    <oddHeader>&amp;R
Anexo: 03
Folha : 0&amp;P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C238"/>
  <sheetViews>
    <sheetView zoomScalePageLayoutView="0" workbookViewId="0" topLeftCell="A1">
      <selection activeCell="K58" sqref="J58:K59"/>
    </sheetView>
  </sheetViews>
  <sheetFormatPr defaultColWidth="9.33203125" defaultRowHeight="10.5"/>
  <cols>
    <col min="1" max="1" width="8" style="4" customWidth="1"/>
    <col min="2" max="2" width="10.66015625" style="4" customWidth="1"/>
    <col min="3" max="3" width="9.5" style="4" customWidth="1"/>
    <col min="4" max="4" width="11" style="4" customWidth="1"/>
    <col min="5" max="5" width="5.66015625" style="4" customWidth="1"/>
    <col min="6" max="6" width="7.5" style="4" customWidth="1"/>
    <col min="7" max="7" width="9.5" style="4" customWidth="1"/>
    <col min="8" max="8" width="10.83203125" style="388" customWidth="1"/>
    <col min="9" max="9" width="9.66015625" style="388" customWidth="1"/>
    <col min="10" max="10" width="12.16015625" style="388" customWidth="1"/>
    <col min="11" max="11" width="11.16015625" style="388" customWidth="1"/>
    <col min="12" max="12" width="12.66015625" style="4" customWidth="1"/>
    <col min="13" max="13" width="11.66015625" style="4" customWidth="1"/>
    <col min="14" max="14" width="15" style="4" customWidth="1"/>
    <col min="15" max="15" width="9.33203125" style="4" customWidth="1"/>
    <col min="16" max="16" width="14.16015625" style="492" customWidth="1"/>
    <col min="17" max="16384" width="9.33203125" style="4" customWidth="1"/>
  </cols>
  <sheetData>
    <row r="1" spans="1:4" s="611" customFormat="1" ht="14.25" customHeight="1">
      <c r="A1" s="610" t="s">
        <v>461</v>
      </c>
      <c r="B1" s="610"/>
      <c r="C1" s="610"/>
      <c r="D1" s="610"/>
    </row>
    <row r="2" spans="1:4" s="107" customFormat="1" ht="10.5" customHeight="1">
      <c r="A2" s="132"/>
      <c r="B2" s="612"/>
      <c r="C2" s="132"/>
      <c r="D2" s="132"/>
    </row>
    <row r="3" spans="1:4" s="107" customFormat="1" ht="10.5" customHeight="1">
      <c r="A3" s="132"/>
      <c r="B3" s="612"/>
      <c r="C3" s="132"/>
      <c r="D3" s="132"/>
    </row>
    <row r="4" spans="1:16" s="326" customFormat="1" ht="10.5">
      <c r="A4" s="599" t="s">
        <v>333</v>
      </c>
      <c r="H4" s="600"/>
      <c r="I4" s="600"/>
      <c r="J4" s="600"/>
      <c r="K4" s="600"/>
      <c r="L4" s="446"/>
      <c r="M4" s="446"/>
      <c r="P4" s="601"/>
    </row>
    <row r="5" spans="8:13" ht="10.5">
      <c r="H5" s="390"/>
      <c r="I5" s="390"/>
      <c r="J5" s="390"/>
      <c r="K5" s="390"/>
      <c r="L5"/>
      <c r="M5"/>
    </row>
    <row r="6" spans="1:4" s="176" customFormat="1" ht="11.25" customHeight="1">
      <c r="A6" s="175" t="s">
        <v>451</v>
      </c>
      <c r="B6" s="53"/>
      <c r="C6" s="288"/>
      <c r="D6" s="107"/>
    </row>
    <row r="7" spans="1:4" s="176" customFormat="1" ht="11.25" customHeight="1">
      <c r="A7" s="173" t="s">
        <v>453</v>
      </c>
      <c r="B7" s="16"/>
      <c r="C7" s="294"/>
      <c r="D7" s="107"/>
    </row>
    <row r="8" spans="1:4" s="176" customFormat="1" ht="11.25" customHeight="1">
      <c r="A8" s="173" t="s">
        <v>454</v>
      </c>
      <c r="B8" s="16"/>
      <c r="C8" s="294"/>
      <c r="D8" s="107"/>
    </row>
    <row r="9" spans="1:4" s="176" customFormat="1" ht="11.25" customHeight="1">
      <c r="A9" s="173" t="s">
        <v>452</v>
      </c>
      <c r="B9" s="16"/>
      <c r="C9" s="294"/>
      <c r="D9" s="107"/>
    </row>
    <row r="10" spans="1:4" s="176" customFormat="1" ht="11.25" customHeight="1">
      <c r="A10" s="175" t="s">
        <v>455</v>
      </c>
      <c r="B10" s="53"/>
      <c r="C10" s="288"/>
      <c r="D10" s="107"/>
    </row>
    <row r="11" spans="1:29" s="176" customFormat="1" ht="11.25" customHeight="1">
      <c r="A11" s="173" t="s">
        <v>460</v>
      </c>
      <c r="B11" s="16"/>
      <c r="C11" s="294"/>
      <c r="D11" s="107"/>
      <c r="X11" s="107"/>
      <c r="Y11" s="107"/>
      <c r="Z11" s="107"/>
      <c r="AA11" s="107"/>
      <c r="AB11" s="107"/>
      <c r="AC11" s="107"/>
    </row>
    <row r="12" spans="8:13" ht="15" customHeight="1" thickBot="1">
      <c r="H12" s="1"/>
      <c r="I12" s="1"/>
      <c r="J12" s="1"/>
      <c r="K12" s="1"/>
      <c r="L12"/>
      <c r="M12"/>
    </row>
    <row r="13" spans="1:15" ht="12" thickBot="1" thickTop="1">
      <c r="A13" s="11" t="s">
        <v>3</v>
      </c>
      <c r="B13" s="5" t="s">
        <v>4</v>
      </c>
      <c r="C13" s="393" t="s">
        <v>5</v>
      </c>
      <c r="D13" s="393" t="s">
        <v>6</v>
      </c>
      <c r="E13" s="393" t="s">
        <v>7</v>
      </c>
      <c r="F13" s="2" t="s">
        <v>8</v>
      </c>
      <c r="G13" s="2" t="s">
        <v>9</v>
      </c>
      <c r="H13" s="2" t="s">
        <v>10</v>
      </c>
      <c r="I13" s="2" t="s">
        <v>11</v>
      </c>
      <c r="J13" s="2" t="s">
        <v>80</v>
      </c>
      <c r="K13" s="2" t="s">
        <v>101</v>
      </c>
      <c r="L13" s="2" t="s">
        <v>109</v>
      </c>
      <c r="M13" s="2" t="s">
        <v>110</v>
      </c>
      <c r="N13" s="2" t="s">
        <v>124</v>
      </c>
      <c r="O13" s="388"/>
    </row>
    <row r="14" spans="1:14" ht="12" thickBot="1" thickTop="1">
      <c r="A14" s="13"/>
      <c r="F14" s="395"/>
      <c r="G14" s="395"/>
      <c r="H14" s="395"/>
      <c r="I14" s="395"/>
      <c r="J14" s="1"/>
      <c r="K14" s="1"/>
      <c r="L14" s="1"/>
      <c r="M14" s="1"/>
      <c r="N14" s="1"/>
    </row>
    <row r="15" spans="1:16" s="16" customFormat="1" ht="11.25" thickTop="1">
      <c r="A15" s="157" t="s">
        <v>1</v>
      </c>
      <c r="B15" s="328" t="s">
        <v>273</v>
      </c>
      <c r="C15" s="328" t="s">
        <v>67</v>
      </c>
      <c r="D15" s="328" t="s">
        <v>112</v>
      </c>
      <c r="E15" s="15" t="s">
        <v>38</v>
      </c>
      <c r="F15" s="493" t="s">
        <v>327</v>
      </c>
      <c r="G15" s="448" t="s">
        <v>47</v>
      </c>
      <c r="H15" s="403" t="s">
        <v>313</v>
      </c>
      <c r="I15" s="403" t="s">
        <v>15</v>
      </c>
      <c r="J15" s="177" t="s">
        <v>13</v>
      </c>
      <c r="K15" s="177" t="s">
        <v>14</v>
      </c>
      <c r="L15" s="177" t="s">
        <v>36</v>
      </c>
      <c r="M15" s="177" t="s">
        <v>12</v>
      </c>
      <c r="N15" s="178" t="s">
        <v>0</v>
      </c>
      <c r="P15" s="228"/>
    </row>
    <row r="16" spans="1:16" s="16" customFormat="1" ht="10.5">
      <c r="A16" s="160"/>
      <c r="B16" s="194" t="s">
        <v>315</v>
      </c>
      <c r="C16" s="194" t="s">
        <v>282</v>
      </c>
      <c r="D16" s="194"/>
      <c r="E16" s="194" t="s">
        <v>328</v>
      </c>
      <c r="F16" s="494" t="s">
        <v>329</v>
      </c>
      <c r="G16" s="450" t="s">
        <v>288</v>
      </c>
      <c r="H16" s="469" t="s">
        <v>330</v>
      </c>
      <c r="I16" s="409" t="s">
        <v>316</v>
      </c>
      <c r="J16" s="179" t="s">
        <v>17</v>
      </c>
      <c r="K16" s="179" t="s">
        <v>15</v>
      </c>
      <c r="L16" s="179" t="s">
        <v>23</v>
      </c>
      <c r="M16" s="179" t="s">
        <v>18</v>
      </c>
      <c r="N16" s="180" t="s">
        <v>19</v>
      </c>
      <c r="P16" s="228"/>
    </row>
    <row r="17" spans="1:16" s="16" customFormat="1" ht="10.5">
      <c r="A17" s="160"/>
      <c r="B17" s="194" t="s">
        <v>318</v>
      </c>
      <c r="C17" s="470" t="s">
        <v>283</v>
      </c>
      <c r="D17" s="495"/>
      <c r="E17" s="495"/>
      <c r="F17" s="494" t="s">
        <v>275</v>
      </c>
      <c r="G17" s="450" t="s">
        <v>331</v>
      </c>
      <c r="H17" s="409"/>
      <c r="I17" s="469" t="s">
        <v>319</v>
      </c>
      <c r="J17" s="179" t="s">
        <v>21</v>
      </c>
      <c r="K17" s="179" t="s">
        <v>22</v>
      </c>
      <c r="L17" s="181" t="s">
        <v>26</v>
      </c>
      <c r="M17" s="179" t="s">
        <v>2</v>
      </c>
      <c r="N17" s="471" t="s">
        <v>320</v>
      </c>
      <c r="P17" s="228"/>
    </row>
    <row r="18" spans="1:16" s="16" customFormat="1" ht="10.5">
      <c r="A18" s="160"/>
      <c r="B18" s="194" t="s">
        <v>322</v>
      </c>
      <c r="C18" s="470" t="s">
        <v>310</v>
      </c>
      <c r="D18" s="495"/>
      <c r="E18" s="495"/>
      <c r="F18" s="409"/>
      <c r="G18" s="450" t="s">
        <v>332</v>
      </c>
      <c r="H18" s="409"/>
      <c r="I18" s="450" t="s">
        <v>87</v>
      </c>
      <c r="J18" s="179" t="s">
        <v>25</v>
      </c>
      <c r="K18" s="179"/>
      <c r="L18" s="182" t="s">
        <v>28</v>
      </c>
      <c r="M18" s="179"/>
      <c r="N18" s="474" t="s">
        <v>321</v>
      </c>
      <c r="P18" s="228"/>
    </row>
    <row r="19" spans="1:16" s="16" customFormat="1" ht="10.5">
      <c r="A19" s="160"/>
      <c r="B19" s="194" t="s">
        <v>276</v>
      </c>
      <c r="C19" s="470" t="s">
        <v>376</v>
      </c>
      <c r="D19" s="495"/>
      <c r="E19" s="495"/>
      <c r="F19" s="409"/>
      <c r="G19" s="450"/>
      <c r="H19" s="409"/>
      <c r="I19" s="409"/>
      <c r="J19" s="183">
        <v>42005</v>
      </c>
      <c r="K19" s="179"/>
      <c r="L19" s="476" t="s">
        <v>361</v>
      </c>
      <c r="M19" s="179"/>
      <c r="N19" s="477">
        <v>42005</v>
      </c>
      <c r="P19" s="228"/>
    </row>
    <row r="20" spans="1:16" s="16" customFormat="1" ht="11.25" thickBot="1">
      <c r="A20" s="285"/>
      <c r="B20" s="496" t="s">
        <v>450</v>
      </c>
      <c r="C20" s="576" t="s">
        <v>448</v>
      </c>
      <c r="D20" s="338" t="s">
        <v>377</v>
      </c>
      <c r="E20" s="497"/>
      <c r="F20" s="424"/>
      <c r="G20" s="424"/>
      <c r="H20" s="453" t="s">
        <v>378</v>
      </c>
      <c r="I20" s="453" t="s">
        <v>379</v>
      </c>
      <c r="J20" s="188"/>
      <c r="K20" s="187" t="s">
        <v>380</v>
      </c>
      <c r="L20" s="51">
        <v>42005</v>
      </c>
      <c r="M20" s="187" t="s">
        <v>381</v>
      </c>
      <c r="N20" s="189" t="s">
        <v>347</v>
      </c>
      <c r="P20" s="228"/>
    </row>
    <row r="21" spans="1:16" s="16" customFormat="1" ht="12.75" customHeight="1" thickTop="1">
      <c r="A21" s="4"/>
      <c r="B21" s="4"/>
      <c r="C21" s="4"/>
      <c r="D21" s="4"/>
      <c r="E21" s="4"/>
      <c r="F21" s="480"/>
      <c r="G21" s="480"/>
      <c r="H21" s="480"/>
      <c r="I21" s="480"/>
      <c r="J21"/>
      <c r="K21"/>
      <c r="P21" s="498" t="s">
        <v>326</v>
      </c>
    </row>
    <row r="22" spans="1:16" ht="10.5">
      <c r="A22" s="456">
        <f>'03'!A22</f>
        <v>39814</v>
      </c>
      <c r="B22" s="432">
        <f>'02'!I22</f>
        <v>372.83</v>
      </c>
      <c r="C22" s="577">
        <f>'03'!E22</f>
        <v>0</v>
      </c>
      <c r="D22" s="578">
        <f>B22+C22</f>
        <v>372.83</v>
      </c>
      <c r="E22" s="499">
        <v>18</v>
      </c>
      <c r="F22" s="499">
        <v>2</v>
      </c>
      <c r="G22" s="432">
        <f>IF(E22=0,0,D22/E22*F22)</f>
        <v>41.43</v>
      </c>
      <c r="H22" s="432">
        <f>G22*11.2%</f>
        <v>4.64</v>
      </c>
      <c r="I22" s="432">
        <f>G22+H22</f>
        <v>46.07</v>
      </c>
      <c r="J22" s="91">
        <f>'02'!N22</f>
        <v>1.03816541</v>
      </c>
      <c r="K22" s="432">
        <f>I22*J22</f>
        <v>47.83</v>
      </c>
      <c r="L22" s="432">
        <f>'02'!P22</f>
        <v>35.03</v>
      </c>
      <c r="M22" s="432">
        <f>K22*L22%</f>
        <v>16.75</v>
      </c>
      <c r="N22" s="432">
        <f>K22+M22</f>
        <v>64.58</v>
      </c>
      <c r="P22" s="500">
        <f>H22*J22</f>
        <v>4.82</v>
      </c>
    </row>
    <row r="23" spans="1:16" ht="10.5">
      <c r="A23" s="456">
        <f>'03'!A23</f>
        <v>39845</v>
      </c>
      <c r="B23" s="432">
        <f>'02'!I23</f>
        <v>282.99</v>
      </c>
      <c r="C23" s="577">
        <f>'03'!E23</f>
        <v>0</v>
      </c>
      <c r="D23" s="578">
        <f aca="true" t="shared" si="0" ref="D23:D53">B23+C23</f>
        <v>282.99</v>
      </c>
      <c r="E23" s="499">
        <v>24</v>
      </c>
      <c r="F23" s="499">
        <v>4</v>
      </c>
      <c r="G23" s="432">
        <f aca="true" t="shared" si="1" ref="G23:G53">IF(E23=0,0,D23/E23*F23)</f>
        <v>47.17</v>
      </c>
      <c r="H23" s="432">
        <f aca="true" t="shared" si="2" ref="H23:H53">G23*11.2%</f>
        <v>5.28</v>
      </c>
      <c r="I23" s="432">
        <f aca="true" t="shared" si="3" ref="I23:I53">G23+H23</f>
        <v>52.45</v>
      </c>
      <c r="J23" s="91">
        <f>'02'!N23</f>
        <v>1.03769741</v>
      </c>
      <c r="K23" s="432">
        <f aca="true" t="shared" si="4" ref="K23:K53">I23*J23</f>
        <v>54.43</v>
      </c>
      <c r="L23" s="432">
        <f>'02'!P23</f>
        <v>35.03</v>
      </c>
      <c r="M23" s="432">
        <f aca="true" t="shared" si="5" ref="M23:M53">K23*L23%</f>
        <v>19.07</v>
      </c>
      <c r="N23" s="432">
        <f aca="true" t="shared" si="6" ref="N23:N53">K23+M23</f>
        <v>73.5</v>
      </c>
      <c r="P23" s="500">
        <f aca="true" t="shared" si="7" ref="P23:P53">H23*J23</f>
        <v>5.48</v>
      </c>
    </row>
    <row r="24" spans="1:16" ht="10.5">
      <c r="A24" s="456">
        <f>'03'!A24</f>
        <v>39873</v>
      </c>
      <c r="B24" s="432">
        <f>'02'!I24</f>
        <v>229.13</v>
      </c>
      <c r="C24" s="577">
        <f>'03'!E24</f>
        <v>0</v>
      </c>
      <c r="D24" s="578">
        <f t="shared" si="0"/>
        <v>229.13</v>
      </c>
      <c r="E24" s="499">
        <v>26</v>
      </c>
      <c r="F24" s="499">
        <v>5</v>
      </c>
      <c r="G24" s="432">
        <f t="shared" si="1"/>
        <v>44.06</v>
      </c>
      <c r="H24" s="432">
        <f t="shared" si="2"/>
        <v>4.93</v>
      </c>
      <c r="I24" s="432">
        <f t="shared" si="3"/>
        <v>48.99</v>
      </c>
      <c r="J24" s="91">
        <f>'02'!N24</f>
        <v>1.03620734</v>
      </c>
      <c r="K24" s="432">
        <f t="shared" si="4"/>
        <v>50.76</v>
      </c>
      <c r="L24" s="432">
        <f>'02'!P24</f>
        <v>35.03</v>
      </c>
      <c r="M24" s="432">
        <f t="shared" si="5"/>
        <v>17.78</v>
      </c>
      <c r="N24" s="432">
        <f t="shared" si="6"/>
        <v>68.54</v>
      </c>
      <c r="P24" s="500">
        <f t="shared" si="7"/>
        <v>5.11</v>
      </c>
    </row>
    <row r="25" spans="1:16" ht="10.5">
      <c r="A25" s="456">
        <f>'03'!A25</f>
        <v>39904</v>
      </c>
      <c r="B25" s="432">
        <f>'02'!I25</f>
        <v>588.34</v>
      </c>
      <c r="C25" s="577">
        <f>'03'!E25</f>
        <v>0</v>
      </c>
      <c r="D25" s="578">
        <f t="shared" si="0"/>
        <v>588.34</v>
      </c>
      <c r="E25" s="499">
        <v>24</v>
      </c>
      <c r="F25" s="499">
        <v>6</v>
      </c>
      <c r="G25" s="432">
        <f t="shared" si="1"/>
        <v>147.09</v>
      </c>
      <c r="H25" s="432">
        <f t="shared" si="2"/>
        <v>16.47</v>
      </c>
      <c r="I25" s="432">
        <f t="shared" si="3"/>
        <v>163.56</v>
      </c>
      <c r="J25" s="91">
        <f>'02'!N25</f>
        <v>1.03573712</v>
      </c>
      <c r="K25" s="432">
        <f t="shared" si="4"/>
        <v>169.41</v>
      </c>
      <c r="L25" s="432">
        <f>'02'!P25</f>
        <v>35.03</v>
      </c>
      <c r="M25" s="432">
        <f t="shared" si="5"/>
        <v>59.34</v>
      </c>
      <c r="N25" s="432">
        <f t="shared" si="6"/>
        <v>228.75</v>
      </c>
      <c r="P25" s="500">
        <f t="shared" si="7"/>
        <v>17.06</v>
      </c>
    </row>
    <row r="26" spans="1:16" ht="10.5">
      <c r="A26" s="456">
        <f>'03'!A26</f>
        <v>39934</v>
      </c>
      <c r="B26" s="432">
        <f>'02'!I26</f>
        <v>0</v>
      </c>
      <c r="C26" s="577">
        <f>'03'!E26</f>
        <v>0</v>
      </c>
      <c r="D26" s="578">
        <f t="shared" si="0"/>
        <v>0</v>
      </c>
      <c r="E26" s="499">
        <v>25</v>
      </c>
      <c r="F26" s="499">
        <v>6</v>
      </c>
      <c r="G26" s="432">
        <f t="shared" si="1"/>
        <v>0</v>
      </c>
      <c r="H26" s="432">
        <f t="shared" si="2"/>
        <v>0</v>
      </c>
      <c r="I26" s="432">
        <f t="shared" si="3"/>
        <v>0</v>
      </c>
      <c r="J26" s="91">
        <f>'02'!N26</f>
        <v>1.03527228</v>
      </c>
      <c r="K26" s="432">
        <f t="shared" si="4"/>
        <v>0</v>
      </c>
      <c r="L26" s="432">
        <f>'02'!P26</f>
        <v>35.03</v>
      </c>
      <c r="M26" s="432">
        <f t="shared" si="5"/>
        <v>0</v>
      </c>
      <c r="N26" s="432">
        <f t="shared" si="6"/>
        <v>0</v>
      </c>
      <c r="P26" s="500">
        <f t="shared" si="7"/>
        <v>0</v>
      </c>
    </row>
    <row r="27" spans="1:16" ht="10.5">
      <c r="A27" s="456">
        <f>'03'!A27</f>
        <v>39965</v>
      </c>
      <c r="B27" s="432">
        <f>'02'!I27</f>
        <v>0</v>
      </c>
      <c r="C27" s="577">
        <f>'03'!E27</f>
        <v>0</v>
      </c>
      <c r="D27" s="578">
        <f t="shared" si="0"/>
        <v>0</v>
      </c>
      <c r="E27" s="499">
        <v>25</v>
      </c>
      <c r="F27" s="499">
        <v>5</v>
      </c>
      <c r="G27" s="432">
        <f t="shared" si="1"/>
        <v>0</v>
      </c>
      <c r="H27" s="432">
        <f t="shared" si="2"/>
        <v>0</v>
      </c>
      <c r="I27" s="432">
        <f t="shared" si="3"/>
        <v>0</v>
      </c>
      <c r="J27" s="91">
        <f>'02'!N27</f>
        <v>1.03459358</v>
      </c>
      <c r="K27" s="432">
        <f t="shared" si="4"/>
        <v>0</v>
      </c>
      <c r="L27" s="432">
        <f>'02'!P27</f>
        <v>35.03</v>
      </c>
      <c r="M27" s="432">
        <f t="shared" si="5"/>
        <v>0</v>
      </c>
      <c r="N27" s="432">
        <f t="shared" si="6"/>
        <v>0</v>
      </c>
      <c r="P27" s="500">
        <f t="shared" si="7"/>
        <v>0</v>
      </c>
    </row>
    <row r="28" spans="1:16" ht="10.5">
      <c r="A28" s="456">
        <f>'03'!A28</f>
        <v>39995</v>
      </c>
      <c r="B28" s="432">
        <f>'02'!I28</f>
        <v>0</v>
      </c>
      <c r="C28" s="577">
        <f>'03'!E28</f>
        <v>0</v>
      </c>
      <c r="D28" s="578">
        <f t="shared" si="0"/>
        <v>0</v>
      </c>
      <c r="E28" s="499">
        <v>26</v>
      </c>
      <c r="F28" s="499">
        <v>5</v>
      </c>
      <c r="G28" s="432">
        <f t="shared" si="1"/>
        <v>0</v>
      </c>
      <c r="H28" s="432">
        <f t="shared" si="2"/>
        <v>0</v>
      </c>
      <c r="I28" s="432">
        <f t="shared" si="3"/>
        <v>0</v>
      </c>
      <c r="J28" s="91">
        <f>'02'!N28</f>
        <v>1.03350737</v>
      </c>
      <c r="K28" s="432">
        <f t="shared" si="4"/>
        <v>0</v>
      </c>
      <c r="L28" s="432">
        <f>'02'!P28</f>
        <v>35.03</v>
      </c>
      <c r="M28" s="432">
        <f t="shared" si="5"/>
        <v>0</v>
      </c>
      <c r="N28" s="432">
        <f t="shared" si="6"/>
        <v>0</v>
      </c>
      <c r="P28" s="500">
        <f t="shared" si="7"/>
        <v>0</v>
      </c>
    </row>
    <row r="29" spans="1:16" ht="10.5">
      <c r="A29" s="456">
        <f>'03'!A29</f>
        <v>40026</v>
      </c>
      <c r="B29" s="432">
        <f>'02'!I29</f>
        <v>605.3</v>
      </c>
      <c r="C29" s="577">
        <f>'03'!E29</f>
        <v>0</v>
      </c>
      <c r="D29" s="578">
        <f t="shared" si="0"/>
        <v>605.3</v>
      </c>
      <c r="E29" s="499">
        <v>26</v>
      </c>
      <c r="F29" s="499">
        <v>5</v>
      </c>
      <c r="G29" s="432">
        <f t="shared" si="1"/>
        <v>116.4</v>
      </c>
      <c r="H29" s="432">
        <f t="shared" si="2"/>
        <v>13.04</v>
      </c>
      <c r="I29" s="432">
        <f t="shared" si="3"/>
        <v>129.44</v>
      </c>
      <c r="J29" s="91">
        <f>'02'!N29</f>
        <v>1.03330381</v>
      </c>
      <c r="K29" s="432">
        <f t="shared" si="4"/>
        <v>133.75</v>
      </c>
      <c r="L29" s="432">
        <f>'02'!P29</f>
        <v>35.03</v>
      </c>
      <c r="M29" s="432">
        <f t="shared" si="5"/>
        <v>46.85</v>
      </c>
      <c r="N29" s="432">
        <f t="shared" si="6"/>
        <v>180.6</v>
      </c>
      <c r="P29" s="500">
        <f t="shared" si="7"/>
        <v>13.47</v>
      </c>
    </row>
    <row r="30" spans="1:16" ht="10.5">
      <c r="A30" s="456">
        <f>'03'!A30</f>
        <v>40057</v>
      </c>
      <c r="B30" s="432">
        <f>'02'!I30</f>
        <v>1087.16</v>
      </c>
      <c r="C30" s="577">
        <f>'03'!E30</f>
        <v>0</v>
      </c>
      <c r="D30" s="578">
        <f t="shared" si="0"/>
        <v>1087.16</v>
      </c>
      <c r="E30" s="499">
        <v>25</v>
      </c>
      <c r="F30" s="499">
        <v>5</v>
      </c>
      <c r="G30" s="432">
        <f t="shared" si="1"/>
        <v>217.43</v>
      </c>
      <c r="H30" s="432">
        <f t="shared" si="2"/>
        <v>24.35</v>
      </c>
      <c r="I30" s="432">
        <f t="shared" si="3"/>
        <v>241.78</v>
      </c>
      <c r="J30" s="91">
        <f>'02'!N30</f>
        <v>1.03330381</v>
      </c>
      <c r="K30" s="432">
        <f t="shared" si="4"/>
        <v>249.83</v>
      </c>
      <c r="L30" s="432">
        <f>'02'!P30</f>
        <v>35.03</v>
      </c>
      <c r="M30" s="432">
        <f t="shared" si="5"/>
        <v>87.52</v>
      </c>
      <c r="N30" s="432">
        <f t="shared" si="6"/>
        <v>337.35</v>
      </c>
      <c r="P30" s="500">
        <f t="shared" si="7"/>
        <v>25.16</v>
      </c>
    </row>
    <row r="31" spans="1:16" ht="10.5">
      <c r="A31" s="456">
        <f>'03'!A31</f>
        <v>40087</v>
      </c>
      <c r="B31" s="432">
        <f>'02'!I31</f>
        <v>225.46</v>
      </c>
      <c r="C31" s="577">
        <f>'03'!E31</f>
        <v>0</v>
      </c>
      <c r="D31" s="578">
        <f t="shared" si="0"/>
        <v>225.46</v>
      </c>
      <c r="E31" s="499">
        <v>26</v>
      </c>
      <c r="F31" s="499">
        <v>5</v>
      </c>
      <c r="G31" s="432">
        <f t="shared" si="1"/>
        <v>43.36</v>
      </c>
      <c r="H31" s="432">
        <f t="shared" si="2"/>
        <v>4.86</v>
      </c>
      <c r="I31" s="432">
        <f t="shared" si="3"/>
        <v>48.22</v>
      </c>
      <c r="J31" s="91">
        <f>'02'!N31</f>
        <v>1.03330381</v>
      </c>
      <c r="K31" s="432">
        <f t="shared" si="4"/>
        <v>49.83</v>
      </c>
      <c r="L31" s="432">
        <f>'02'!P31</f>
        <v>35.03</v>
      </c>
      <c r="M31" s="432">
        <f t="shared" si="5"/>
        <v>17.46</v>
      </c>
      <c r="N31" s="432">
        <f t="shared" si="6"/>
        <v>67.29</v>
      </c>
      <c r="P31" s="500">
        <f t="shared" si="7"/>
        <v>5.02</v>
      </c>
    </row>
    <row r="32" spans="1:16" ht="10.5">
      <c r="A32" s="456">
        <f>'03'!A32</f>
        <v>40118</v>
      </c>
      <c r="B32" s="432">
        <f>'02'!I32</f>
        <v>320.32</v>
      </c>
      <c r="C32" s="577">
        <f>'03'!E32</f>
        <v>0</v>
      </c>
      <c r="D32" s="578">
        <f t="shared" si="0"/>
        <v>320.32</v>
      </c>
      <c r="E32" s="499">
        <v>24</v>
      </c>
      <c r="F32" s="499">
        <v>6</v>
      </c>
      <c r="G32" s="432">
        <f t="shared" si="1"/>
        <v>80.08</v>
      </c>
      <c r="H32" s="432">
        <f t="shared" si="2"/>
        <v>8.97</v>
      </c>
      <c r="I32" s="432">
        <f t="shared" si="3"/>
        <v>89.05</v>
      </c>
      <c r="J32" s="91">
        <f>'02'!N32</f>
        <v>1.03330381</v>
      </c>
      <c r="K32" s="432">
        <f t="shared" si="4"/>
        <v>92.02</v>
      </c>
      <c r="L32" s="432">
        <f>'02'!P32</f>
        <v>35.03</v>
      </c>
      <c r="M32" s="432">
        <f t="shared" si="5"/>
        <v>32.23</v>
      </c>
      <c r="N32" s="432">
        <f t="shared" si="6"/>
        <v>124.25</v>
      </c>
      <c r="P32" s="500">
        <f t="shared" si="7"/>
        <v>9.27</v>
      </c>
    </row>
    <row r="33" spans="1:16" ht="10.5">
      <c r="A33" s="456">
        <f>'03'!A33</f>
        <v>40148</v>
      </c>
      <c r="B33" s="432">
        <f>'02'!I33</f>
        <v>209.44</v>
      </c>
      <c r="C33" s="577">
        <f>'03'!E33</f>
        <v>0</v>
      </c>
      <c r="D33" s="578">
        <f t="shared" si="0"/>
        <v>209.44</v>
      </c>
      <c r="E33" s="499">
        <v>26</v>
      </c>
      <c r="F33" s="499">
        <v>5</v>
      </c>
      <c r="G33" s="432">
        <f t="shared" si="1"/>
        <v>40.28</v>
      </c>
      <c r="H33" s="432">
        <f t="shared" si="2"/>
        <v>4.51</v>
      </c>
      <c r="I33" s="432">
        <f t="shared" si="3"/>
        <v>44.79</v>
      </c>
      <c r="J33" s="91">
        <f>'02'!N33</f>
        <v>1.03275335</v>
      </c>
      <c r="K33" s="432">
        <f t="shared" si="4"/>
        <v>46.26</v>
      </c>
      <c r="L33" s="432">
        <f>'02'!P33</f>
        <v>35.03</v>
      </c>
      <c r="M33" s="432">
        <f t="shared" si="5"/>
        <v>16.2</v>
      </c>
      <c r="N33" s="432">
        <f t="shared" si="6"/>
        <v>62.46</v>
      </c>
      <c r="P33" s="500">
        <f t="shared" si="7"/>
        <v>4.66</v>
      </c>
    </row>
    <row r="34" spans="1:16" ht="10.5">
      <c r="A34" s="456">
        <f>'03'!A34</f>
        <v>40179</v>
      </c>
      <c r="B34" s="432">
        <f>'02'!I34</f>
        <v>246.63</v>
      </c>
      <c r="C34" s="577">
        <f>'03'!E34</f>
        <v>0</v>
      </c>
      <c r="D34" s="578">
        <f t="shared" si="0"/>
        <v>246.63</v>
      </c>
      <c r="E34" s="499">
        <v>24</v>
      </c>
      <c r="F34" s="499">
        <v>7</v>
      </c>
      <c r="G34" s="432">
        <f t="shared" si="1"/>
        <v>71.93</v>
      </c>
      <c r="H34" s="432">
        <f t="shared" si="2"/>
        <v>8.06</v>
      </c>
      <c r="I34" s="432">
        <f t="shared" si="3"/>
        <v>79.99</v>
      </c>
      <c r="J34" s="91">
        <f>'02'!N34</f>
        <v>1.03275335</v>
      </c>
      <c r="K34" s="432">
        <f t="shared" si="4"/>
        <v>82.61</v>
      </c>
      <c r="L34" s="432">
        <f>'02'!P34</f>
        <v>35.03</v>
      </c>
      <c r="M34" s="432">
        <f t="shared" si="5"/>
        <v>28.94</v>
      </c>
      <c r="N34" s="432">
        <f t="shared" si="6"/>
        <v>111.55</v>
      </c>
      <c r="P34" s="500">
        <f t="shared" si="7"/>
        <v>8.32</v>
      </c>
    </row>
    <row r="35" spans="1:16" ht="10.5">
      <c r="A35" s="456">
        <f>'03'!A35</f>
        <v>40210</v>
      </c>
      <c r="B35" s="432">
        <f>'02'!I35</f>
        <v>314.55</v>
      </c>
      <c r="C35" s="577">
        <f>'03'!E35</f>
        <v>0</v>
      </c>
      <c r="D35" s="578">
        <f t="shared" si="0"/>
        <v>314.55</v>
      </c>
      <c r="E35" s="499">
        <v>23</v>
      </c>
      <c r="F35" s="499">
        <v>5</v>
      </c>
      <c r="G35" s="432">
        <f t="shared" si="1"/>
        <v>68.38</v>
      </c>
      <c r="H35" s="432">
        <f t="shared" si="2"/>
        <v>7.66</v>
      </c>
      <c r="I35" s="432">
        <f t="shared" si="3"/>
        <v>76.04</v>
      </c>
      <c r="J35" s="91">
        <f>'02'!N35</f>
        <v>1.03275335</v>
      </c>
      <c r="K35" s="432">
        <f t="shared" si="4"/>
        <v>78.53</v>
      </c>
      <c r="L35" s="432">
        <f>'02'!P35</f>
        <v>35.03</v>
      </c>
      <c r="M35" s="432">
        <f t="shared" si="5"/>
        <v>27.51</v>
      </c>
      <c r="N35" s="432">
        <f t="shared" si="6"/>
        <v>106.04</v>
      </c>
      <c r="P35" s="500">
        <f t="shared" si="7"/>
        <v>7.91</v>
      </c>
    </row>
    <row r="36" spans="1:16" ht="10.5">
      <c r="A36" s="456">
        <f>'03'!A36</f>
        <v>40238</v>
      </c>
      <c r="B36" s="432">
        <f>'02'!I36</f>
        <v>0</v>
      </c>
      <c r="C36" s="577">
        <f>'03'!E36</f>
        <v>0</v>
      </c>
      <c r="D36" s="578">
        <f t="shared" si="0"/>
        <v>0</v>
      </c>
      <c r="E36" s="499">
        <v>27</v>
      </c>
      <c r="F36" s="499">
        <v>4</v>
      </c>
      <c r="G36" s="432">
        <f t="shared" si="1"/>
        <v>0</v>
      </c>
      <c r="H36" s="432">
        <f t="shared" si="2"/>
        <v>0</v>
      </c>
      <c r="I36" s="432">
        <f t="shared" si="3"/>
        <v>0</v>
      </c>
      <c r="J36" s="91">
        <f>'02'!N36</f>
        <v>1.03193606</v>
      </c>
      <c r="K36" s="432">
        <f t="shared" si="4"/>
        <v>0</v>
      </c>
      <c r="L36" s="432">
        <f>'02'!P36</f>
        <v>35.03</v>
      </c>
      <c r="M36" s="432">
        <f t="shared" si="5"/>
        <v>0</v>
      </c>
      <c r="N36" s="432">
        <f t="shared" si="6"/>
        <v>0</v>
      </c>
      <c r="P36" s="500">
        <f t="shared" si="7"/>
        <v>0</v>
      </c>
    </row>
    <row r="37" spans="1:16" ht="10.5">
      <c r="A37" s="456">
        <f>'03'!A37</f>
        <v>40269</v>
      </c>
      <c r="B37" s="432">
        <f>'02'!I37</f>
        <v>662.43</v>
      </c>
      <c r="C37" s="577">
        <f>'03'!E37</f>
        <v>0</v>
      </c>
      <c r="D37" s="578">
        <f t="shared" si="0"/>
        <v>662.43</v>
      </c>
      <c r="E37" s="499">
        <v>24</v>
      </c>
      <c r="F37" s="499">
        <v>6</v>
      </c>
      <c r="G37" s="432">
        <f t="shared" si="1"/>
        <v>165.61</v>
      </c>
      <c r="H37" s="432">
        <f t="shared" si="2"/>
        <v>18.55</v>
      </c>
      <c r="I37" s="432">
        <f t="shared" si="3"/>
        <v>184.16</v>
      </c>
      <c r="J37" s="91">
        <f>'02'!N37</f>
        <v>1.03193606</v>
      </c>
      <c r="K37" s="432">
        <f t="shared" si="4"/>
        <v>190.04</v>
      </c>
      <c r="L37" s="432">
        <f>'02'!P37</f>
        <v>35.03</v>
      </c>
      <c r="M37" s="432">
        <f t="shared" si="5"/>
        <v>66.57</v>
      </c>
      <c r="N37" s="432">
        <f t="shared" si="6"/>
        <v>256.61</v>
      </c>
      <c r="P37" s="500">
        <f t="shared" si="7"/>
        <v>19.14</v>
      </c>
    </row>
    <row r="38" spans="1:16" ht="10.5">
      <c r="A38" s="456">
        <f>'03'!A38</f>
        <v>40299</v>
      </c>
      <c r="B38" s="432">
        <f>'02'!I38</f>
        <v>1392.18</v>
      </c>
      <c r="C38" s="577">
        <f>'03'!E38</f>
        <v>7.24</v>
      </c>
      <c r="D38" s="578">
        <f t="shared" si="0"/>
        <v>1399.42</v>
      </c>
      <c r="E38" s="499">
        <v>25</v>
      </c>
      <c r="F38" s="499">
        <v>6</v>
      </c>
      <c r="G38" s="432">
        <f t="shared" si="1"/>
        <v>335.86</v>
      </c>
      <c r="H38" s="432">
        <f t="shared" si="2"/>
        <v>37.62</v>
      </c>
      <c r="I38" s="432">
        <f t="shared" si="3"/>
        <v>373.48</v>
      </c>
      <c r="J38" s="91">
        <f>'02'!N38</f>
        <v>1.03141004</v>
      </c>
      <c r="K38" s="432">
        <f t="shared" si="4"/>
        <v>385.21</v>
      </c>
      <c r="L38" s="432">
        <f>'02'!P38</f>
        <v>35.03</v>
      </c>
      <c r="M38" s="432">
        <f t="shared" si="5"/>
        <v>134.94</v>
      </c>
      <c r="N38" s="432">
        <f t="shared" si="6"/>
        <v>520.15</v>
      </c>
      <c r="P38" s="500">
        <f t="shared" si="7"/>
        <v>38.8</v>
      </c>
    </row>
    <row r="39" spans="1:16" ht="10.5">
      <c r="A39" s="456">
        <f>'03'!A39</f>
        <v>40330</v>
      </c>
      <c r="B39" s="432">
        <f>'02'!I39</f>
        <v>831.08</v>
      </c>
      <c r="C39" s="577">
        <f>'03'!E39</f>
        <v>158.58</v>
      </c>
      <c r="D39" s="578">
        <f t="shared" si="0"/>
        <v>989.66</v>
      </c>
      <c r="E39" s="499">
        <v>25</v>
      </c>
      <c r="F39" s="499">
        <v>5</v>
      </c>
      <c r="G39" s="432">
        <f t="shared" si="1"/>
        <v>197.93</v>
      </c>
      <c r="H39" s="432">
        <f t="shared" si="2"/>
        <v>22.17</v>
      </c>
      <c r="I39" s="432">
        <f t="shared" si="3"/>
        <v>220.1</v>
      </c>
      <c r="J39" s="91">
        <f>'02'!N39</f>
        <v>1.03080289</v>
      </c>
      <c r="K39" s="432">
        <f t="shared" si="4"/>
        <v>226.88</v>
      </c>
      <c r="L39" s="432">
        <f>'02'!P39</f>
        <v>35.03</v>
      </c>
      <c r="M39" s="432">
        <f t="shared" si="5"/>
        <v>79.48</v>
      </c>
      <c r="N39" s="432">
        <f t="shared" si="6"/>
        <v>306.36</v>
      </c>
      <c r="P39" s="500">
        <f t="shared" si="7"/>
        <v>22.85</v>
      </c>
    </row>
    <row r="40" spans="1:16" ht="10.5">
      <c r="A40" s="456">
        <f>'03'!A40</f>
        <v>40360</v>
      </c>
      <c r="B40" s="432">
        <f>'02'!I40</f>
        <v>420.41</v>
      </c>
      <c r="C40" s="577">
        <f>'03'!E40</f>
        <v>174.89</v>
      </c>
      <c r="D40" s="578">
        <f t="shared" si="0"/>
        <v>595.3</v>
      </c>
      <c r="E40" s="499">
        <v>26</v>
      </c>
      <c r="F40" s="499">
        <v>5</v>
      </c>
      <c r="G40" s="432">
        <f t="shared" si="1"/>
        <v>114.48</v>
      </c>
      <c r="H40" s="432">
        <f t="shared" si="2"/>
        <v>12.82</v>
      </c>
      <c r="I40" s="432">
        <f t="shared" si="3"/>
        <v>127.3</v>
      </c>
      <c r="J40" s="91">
        <f>'02'!N40</f>
        <v>1.0296178</v>
      </c>
      <c r="K40" s="432">
        <f t="shared" si="4"/>
        <v>131.07</v>
      </c>
      <c r="L40" s="432">
        <f>'02'!P40</f>
        <v>35.03</v>
      </c>
      <c r="M40" s="432">
        <f t="shared" si="5"/>
        <v>45.91</v>
      </c>
      <c r="N40" s="432">
        <f t="shared" si="6"/>
        <v>176.98</v>
      </c>
      <c r="P40" s="500">
        <f t="shared" si="7"/>
        <v>13.2</v>
      </c>
    </row>
    <row r="41" spans="1:16" ht="10.5">
      <c r="A41" s="456">
        <f>'03'!A41</f>
        <v>40391</v>
      </c>
      <c r="B41" s="432">
        <f>'02'!I41</f>
        <v>1045.91</v>
      </c>
      <c r="C41" s="577">
        <f>'03'!E41</f>
        <v>3.58</v>
      </c>
      <c r="D41" s="578">
        <f t="shared" si="0"/>
        <v>1049.49</v>
      </c>
      <c r="E41" s="499">
        <v>26</v>
      </c>
      <c r="F41" s="499">
        <v>5</v>
      </c>
      <c r="G41" s="432">
        <f t="shared" si="1"/>
        <v>201.83</v>
      </c>
      <c r="H41" s="432">
        <f t="shared" si="2"/>
        <v>22.6</v>
      </c>
      <c r="I41" s="432">
        <f t="shared" si="3"/>
        <v>224.43</v>
      </c>
      <c r="J41" s="91">
        <f>'02'!N41</f>
        <v>1.02868273</v>
      </c>
      <c r="K41" s="432">
        <f t="shared" si="4"/>
        <v>230.87</v>
      </c>
      <c r="L41" s="432">
        <f>'02'!P41</f>
        <v>35.03</v>
      </c>
      <c r="M41" s="432">
        <f t="shared" si="5"/>
        <v>80.87</v>
      </c>
      <c r="N41" s="432">
        <f t="shared" si="6"/>
        <v>311.74</v>
      </c>
      <c r="P41" s="500">
        <f t="shared" si="7"/>
        <v>23.25</v>
      </c>
    </row>
    <row r="42" spans="1:16" ht="10.5">
      <c r="A42" s="456">
        <f>'03'!A42</f>
        <v>40422</v>
      </c>
      <c r="B42" s="432">
        <f>'02'!I42</f>
        <v>987.08</v>
      </c>
      <c r="C42" s="577">
        <f>'03'!E42</f>
        <v>3.58</v>
      </c>
      <c r="D42" s="578">
        <f t="shared" si="0"/>
        <v>990.66</v>
      </c>
      <c r="E42" s="499">
        <v>25</v>
      </c>
      <c r="F42" s="499">
        <v>5</v>
      </c>
      <c r="G42" s="432">
        <f t="shared" si="1"/>
        <v>198.13</v>
      </c>
      <c r="H42" s="432">
        <f t="shared" si="2"/>
        <v>22.19</v>
      </c>
      <c r="I42" s="432">
        <f t="shared" si="3"/>
        <v>220.32</v>
      </c>
      <c r="J42" s="91">
        <f>'02'!N42</f>
        <v>1.0279611</v>
      </c>
      <c r="K42" s="432">
        <f t="shared" si="4"/>
        <v>226.48</v>
      </c>
      <c r="L42" s="432">
        <f>'02'!P42</f>
        <v>35.03</v>
      </c>
      <c r="M42" s="432">
        <f t="shared" si="5"/>
        <v>79.34</v>
      </c>
      <c r="N42" s="432">
        <f t="shared" si="6"/>
        <v>305.82</v>
      </c>
      <c r="P42" s="500">
        <f t="shared" si="7"/>
        <v>22.81</v>
      </c>
    </row>
    <row r="43" spans="1:16" ht="10.5">
      <c r="A43" s="456">
        <f>'03'!A43</f>
        <v>40452</v>
      </c>
      <c r="B43" s="432">
        <f>'02'!I43</f>
        <v>627.33</v>
      </c>
      <c r="C43" s="577">
        <f>'03'!E43</f>
        <v>4.16</v>
      </c>
      <c r="D43" s="578">
        <f t="shared" si="0"/>
        <v>631.49</v>
      </c>
      <c r="E43" s="499">
        <v>25</v>
      </c>
      <c r="F43" s="499">
        <v>6</v>
      </c>
      <c r="G43" s="432">
        <f t="shared" si="1"/>
        <v>151.56</v>
      </c>
      <c r="H43" s="432">
        <f t="shared" si="2"/>
        <v>16.97</v>
      </c>
      <c r="I43" s="432">
        <f t="shared" si="3"/>
        <v>168.53</v>
      </c>
      <c r="J43" s="91">
        <f>'02'!N43</f>
        <v>1.02747613</v>
      </c>
      <c r="K43" s="432">
        <f t="shared" si="4"/>
        <v>173.16</v>
      </c>
      <c r="L43" s="432">
        <f>'02'!P43</f>
        <v>35.03</v>
      </c>
      <c r="M43" s="432">
        <f t="shared" si="5"/>
        <v>60.66</v>
      </c>
      <c r="N43" s="432">
        <f t="shared" si="6"/>
        <v>233.82</v>
      </c>
      <c r="P43" s="500">
        <f t="shared" si="7"/>
        <v>17.44</v>
      </c>
    </row>
    <row r="44" spans="1:16" ht="10.5">
      <c r="A44" s="456">
        <f>'03'!A44</f>
        <v>40483</v>
      </c>
      <c r="B44" s="432">
        <f>'02'!I44</f>
        <v>590.72</v>
      </c>
      <c r="C44" s="577">
        <f>'03'!E44</f>
        <v>0</v>
      </c>
      <c r="D44" s="578">
        <f t="shared" si="0"/>
        <v>590.72</v>
      </c>
      <c r="E44" s="499">
        <v>24</v>
      </c>
      <c r="F44" s="499">
        <v>6</v>
      </c>
      <c r="G44" s="432">
        <f t="shared" si="1"/>
        <v>147.68</v>
      </c>
      <c r="H44" s="432">
        <f t="shared" si="2"/>
        <v>16.54</v>
      </c>
      <c r="I44" s="432">
        <f t="shared" si="3"/>
        <v>164.22</v>
      </c>
      <c r="J44" s="91">
        <f>'02'!N44</f>
        <v>1.02713102</v>
      </c>
      <c r="K44" s="432">
        <f t="shared" si="4"/>
        <v>168.68</v>
      </c>
      <c r="L44" s="432">
        <f>'02'!P44</f>
        <v>35.03</v>
      </c>
      <c r="M44" s="432">
        <f t="shared" si="5"/>
        <v>59.09</v>
      </c>
      <c r="N44" s="432">
        <f t="shared" si="6"/>
        <v>227.77</v>
      </c>
      <c r="P44" s="500">
        <f t="shared" si="7"/>
        <v>16.99</v>
      </c>
    </row>
    <row r="45" spans="1:16" ht="10.5">
      <c r="A45" s="456">
        <f>'03'!A45</f>
        <v>40513</v>
      </c>
      <c r="B45" s="432">
        <f>'02'!I45</f>
        <v>671.17</v>
      </c>
      <c r="C45" s="577">
        <f>'03'!E45</f>
        <v>208.58</v>
      </c>
      <c r="D45" s="578">
        <f t="shared" si="0"/>
        <v>879.75</v>
      </c>
      <c r="E45" s="499">
        <v>26</v>
      </c>
      <c r="F45" s="499">
        <v>5</v>
      </c>
      <c r="G45" s="432">
        <f t="shared" si="1"/>
        <v>169.18</v>
      </c>
      <c r="H45" s="432">
        <f t="shared" si="2"/>
        <v>18.95</v>
      </c>
      <c r="I45" s="432">
        <f t="shared" si="3"/>
        <v>188.13</v>
      </c>
      <c r="J45" s="91">
        <f>'02'!N45</f>
        <v>1.0256889</v>
      </c>
      <c r="K45" s="432">
        <f t="shared" si="4"/>
        <v>192.96</v>
      </c>
      <c r="L45" s="432">
        <f>'02'!P45</f>
        <v>35.03</v>
      </c>
      <c r="M45" s="432">
        <f t="shared" si="5"/>
        <v>67.59</v>
      </c>
      <c r="N45" s="432">
        <f t="shared" si="6"/>
        <v>260.55</v>
      </c>
      <c r="P45" s="500">
        <f t="shared" si="7"/>
        <v>19.44</v>
      </c>
    </row>
    <row r="46" spans="1:16" ht="10.5">
      <c r="A46" s="456">
        <f>'03'!A46</f>
        <v>40544</v>
      </c>
      <c r="B46" s="432">
        <f>'02'!I46</f>
        <v>962.46</v>
      </c>
      <c r="C46" s="577">
        <f>'03'!E46</f>
        <v>291.28</v>
      </c>
      <c r="D46" s="578">
        <f t="shared" si="0"/>
        <v>1253.74</v>
      </c>
      <c r="E46" s="499">
        <v>25</v>
      </c>
      <c r="F46" s="499">
        <v>6</v>
      </c>
      <c r="G46" s="432">
        <f t="shared" si="1"/>
        <v>300.9</v>
      </c>
      <c r="H46" s="432">
        <f t="shared" si="2"/>
        <v>33.7</v>
      </c>
      <c r="I46" s="432">
        <f t="shared" si="3"/>
        <v>334.6</v>
      </c>
      <c r="J46" s="91">
        <f>'02'!N46</f>
        <v>1.02495606</v>
      </c>
      <c r="K46" s="432">
        <f t="shared" si="4"/>
        <v>342.95</v>
      </c>
      <c r="L46" s="432">
        <f>'02'!P46</f>
        <v>35.03</v>
      </c>
      <c r="M46" s="432">
        <f t="shared" si="5"/>
        <v>120.14</v>
      </c>
      <c r="N46" s="432">
        <f t="shared" si="6"/>
        <v>463.09</v>
      </c>
      <c r="P46" s="500">
        <f t="shared" si="7"/>
        <v>34.54</v>
      </c>
    </row>
    <row r="47" spans="1:16" ht="10.5">
      <c r="A47" s="456">
        <f>'03'!A47</f>
        <v>40575</v>
      </c>
      <c r="B47" s="432">
        <f>'02'!I47</f>
        <v>401.77</v>
      </c>
      <c r="C47" s="577">
        <f>'03'!E47</f>
        <v>129.88</v>
      </c>
      <c r="D47" s="578">
        <f t="shared" si="0"/>
        <v>531.65</v>
      </c>
      <c r="E47" s="499">
        <v>24</v>
      </c>
      <c r="F47" s="499">
        <v>4</v>
      </c>
      <c r="G47" s="432">
        <f t="shared" si="1"/>
        <v>88.61</v>
      </c>
      <c r="H47" s="432">
        <f t="shared" si="2"/>
        <v>9.92</v>
      </c>
      <c r="I47" s="432">
        <f t="shared" si="3"/>
        <v>98.53</v>
      </c>
      <c r="J47" s="91">
        <f>'02'!N47</f>
        <v>1.02441926</v>
      </c>
      <c r="K47" s="432">
        <f t="shared" si="4"/>
        <v>100.94</v>
      </c>
      <c r="L47" s="432">
        <f>'02'!P47</f>
        <v>35.03</v>
      </c>
      <c r="M47" s="432">
        <f t="shared" si="5"/>
        <v>35.36</v>
      </c>
      <c r="N47" s="432">
        <f t="shared" si="6"/>
        <v>136.3</v>
      </c>
      <c r="P47" s="500">
        <f t="shared" si="7"/>
        <v>10.16</v>
      </c>
    </row>
    <row r="48" spans="1:16" ht="10.5">
      <c r="A48" s="456">
        <f>'03'!A48</f>
        <v>40603</v>
      </c>
      <c r="B48" s="432">
        <f>'02'!I48</f>
        <v>269.32</v>
      </c>
      <c r="C48" s="577">
        <f>'03'!E48</f>
        <v>48.76</v>
      </c>
      <c r="D48" s="578">
        <f t="shared" si="0"/>
        <v>318.08</v>
      </c>
      <c r="E48" s="499">
        <v>27</v>
      </c>
      <c r="F48" s="499">
        <v>4</v>
      </c>
      <c r="G48" s="432">
        <f t="shared" si="1"/>
        <v>47.12</v>
      </c>
      <c r="H48" s="432">
        <f t="shared" si="2"/>
        <v>5.28</v>
      </c>
      <c r="I48" s="432">
        <f t="shared" si="3"/>
        <v>52.4</v>
      </c>
      <c r="J48" s="91">
        <f>'02'!N48</f>
        <v>1.02317917</v>
      </c>
      <c r="K48" s="432">
        <f t="shared" si="4"/>
        <v>53.61</v>
      </c>
      <c r="L48" s="432">
        <f>'02'!P48</f>
        <v>35.03</v>
      </c>
      <c r="M48" s="432">
        <f t="shared" si="5"/>
        <v>18.78</v>
      </c>
      <c r="N48" s="432">
        <f t="shared" si="6"/>
        <v>72.39</v>
      </c>
      <c r="P48" s="500">
        <f t="shared" si="7"/>
        <v>5.4</v>
      </c>
    </row>
    <row r="49" spans="1:16" ht="10.5">
      <c r="A49" s="456">
        <f>'03'!A49</f>
        <v>40634</v>
      </c>
      <c r="B49" s="432">
        <f>'02'!I49</f>
        <v>195.52</v>
      </c>
      <c r="C49" s="577">
        <f>'03'!E49</f>
        <v>0</v>
      </c>
      <c r="D49" s="578">
        <f t="shared" si="0"/>
        <v>195.52</v>
      </c>
      <c r="E49" s="499">
        <v>24</v>
      </c>
      <c r="F49" s="499">
        <v>6</v>
      </c>
      <c r="G49" s="432">
        <f t="shared" si="1"/>
        <v>48.88</v>
      </c>
      <c r="H49" s="432">
        <f t="shared" si="2"/>
        <v>5.47</v>
      </c>
      <c r="I49" s="432">
        <f t="shared" si="3"/>
        <v>54.35</v>
      </c>
      <c r="J49" s="91">
        <f>'02'!N49</f>
        <v>1.02280175</v>
      </c>
      <c r="K49" s="432">
        <f t="shared" si="4"/>
        <v>55.59</v>
      </c>
      <c r="L49" s="432">
        <f>'02'!P49</f>
        <v>35.03</v>
      </c>
      <c r="M49" s="432">
        <f t="shared" si="5"/>
        <v>19.47</v>
      </c>
      <c r="N49" s="432">
        <f t="shared" si="6"/>
        <v>75.06</v>
      </c>
      <c r="P49" s="500">
        <f t="shared" si="7"/>
        <v>5.59</v>
      </c>
    </row>
    <row r="50" spans="1:16" ht="10.5">
      <c r="A50" s="456">
        <f>'03'!A50</f>
        <v>40664</v>
      </c>
      <c r="B50" s="432">
        <f>'02'!I50</f>
        <v>43.82</v>
      </c>
      <c r="C50" s="577">
        <f>'03'!E50</f>
        <v>0</v>
      </c>
      <c r="D50" s="578">
        <f t="shared" si="0"/>
        <v>43.82</v>
      </c>
      <c r="E50" s="499">
        <v>26</v>
      </c>
      <c r="F50" s="499">
        <v>5</v>
      </c>
      <c r="G50" s="432">
        <f t="shared" si="1"/>
        <v>8.43</v>
      </c>
      <c r="H50" s="432">
        <f t="shared" si="2"/>
        <v>0.94</v>
      </c>
      <c r="I50" s="432">
        <f t="shared" si="3"/>
        <v>9.37</v>
      </c>
      <c r="J50" s="91">
        <f>'02'!N50</f>
        <v>1.02119847</v>
      </c>
      <c r="K50" s="432">
        <f t="shared" si="4"/>
        <v>9.57</v>
      </c>
      <c r="L50" s="432">
        <f>'02'!P50</f>
        <v>35.03</v>
      </c>
      <c r="M50" s="432">
        <f t="shared" si="5"/>
        <v>3.35</v>
      </c>
      <c r="N50" s="432">
        <f t="shared" si="6"/>
        <v>12.92</v>
      </c>
      <c r="P50" s="500">
        <f t="shared" si="7"/>
        <v>0.96</v>
      </c>
    </row>
    <row r="51" spans="1:16" ht="10.5">
      <c r="A51" s="456">
        <f>'03'!A51</f>
        <v>40695</v>
      </c>
      <c r="B51" s="432">
        <f>'02'!I51</f>
        <v>0</v>
      </c>
      <c r="C51" s="577">
        <f>'03'!E51</f>
        <v>0</v>
      </c>
      <c r="D51" s="578">
        <f t="shared" si="0"/>
        <v>0</v>
      </c>
      <c r="E51" s="499">
        <v>25</v>
      </c>
      <c r="F51" s="499">
        <v>5</v>
      </c>
      <c r="G51" s="432">
        <f t="shared" si="1"/>
        <v>0</v>
      </c>
      <c r="H51" s="432">
        <f t="shared" si="2"/>
        <v>0</v>
      </c>
      <c r="I51" s="432">
        <f t="shared" si="3"/>
        <v>0</v>
      </c>
      <c r="J51" s="91">
        <f>'02'!N51</f>
        <v>1.02006212</v>
      </c>
      <c r="K51" s="432">
        <f t="shared" si="4"/>
        <v>0</v>
      </c>
      <c r="L51" s="432">
        <f>'02'!P51</f>
        <v>35.03</v>
      </c>
      <c r="M51" s="432">
        <f t="shared" si="5"/>
        <v>0</v>
      </c>
      <c r="N51" s="432">
        <f t="shared" si="6"/>
        <v>0</v>
      </c>
      <c r="P51" s="500">
        <f t="shared" si="7"/>
        <v>0</v>
      </c>
    </row>
    <row r="52" spans="1:16" ht="10.5">
      <c r="A52" s="456">
        <f>'03'!A52</f>
        <v>40725</v>
      </c>
      <c r="B52" s="432">
        <f>'02'!I52</f>
        <v>0</v>
      </c>
      <c r="C52" s="577">
        <f>'03'!E52</f>
        <v>0</v>
      </c>
      <c r="D52" s="578">
        <f t="shared" si="0"/>
        <v>0</v>
      </c>
      <c r="E52" s="499">
        <v>6</v>
      </c>
      <c r="F52" s="499">
        <v>1</v>
      </c>
      <c r="G52" s="432">
        <f t="shared" si="1"/>
        <v>0</v>
      </c>
      <c r="H52" s="432">
        <f t="shared" si="2"/>
        <v>0</v>
      </c>
      <c r="I52" s="432">
        <f t="shared" si="3"/>
        <v>0</v>
      </c>
      <c r="J52" s="91">
        <f>'02'!N52</f>
        <v>1.01881001</v>
      </c>
      <c r="K52" s="432">
        <f t="shared" si="4"/>
        <v>0</v>
      </c>
      <c r="L52" s="432">
        <f>'02'!P52</f>
        <v>35.03</v>
      </c>
      <c r="M52" s="432">
        <f t="shared" si="5"/>
        <v>0</v>
      </c>
      <c r="N52" s="432">
        <f t="shared" si="6"/>
        <v>0</v>
      </c>
      <c r="P52" s="500">
        <f t="shared" si="7"/>
        <v>0</v>
      </c>
    </row>
    <row r="53" spans="1:16" ht="10.5">
      <c r="A53" s="456">
        <f>'03'!A53</f>
        <v>40756</v>
      </c>
      <c r="B53" s="432">
        <f>'02'!I53</f>
        <v>0</v>
      </c>
      <c r="C53" s="577">
        <f>'03'!E53</f>
        <v>0</v>
      </c>
      <c r="D53" s="578">
        <f t="shared" si="0"/>
        <v>0</v>
      </c>
      <c r="E53" s="499">
        <v>27</v>
      </c>
      <c r="F53" s="499">
        <v>4</v>
      </c>
      <c r="G53" s="432">
        <f t="shared" si="1"/>
        <v>0</v>
      </c>
      <c r="H53" s="432">
        <f t="shared" si="2"/>
        <v>0</v>
      </c>
      <c r="I53" s="432">
        <f t="shared" si="3"/>
        <v>0</v>
      </c>
      <c r="J53" s="91">
        <f>'02'!N53</f>
        <v>1.01669934</v>
      </c>
      <c r="K53" s="432">
        <f t="shared" si="4"/>
        <v>0</v>
      </c>
      <c r="L53" s="432">
        <f>'02'!P53</f>
        <v>35.03</v>
      </c>
      <c r="M53" s="432">
        <f t="shared" si="5"/>
        <v>0</v>
      </c>
      <c r="N53" s="432">
        <f t="shared" si="6"/>
        <v>0</v>
      </c>
      <c r="P53" s="500">
        <f t="shared" si="7"/>
        <v>0</v>
      </c>
    </row>
    <row r="54" spans="1:16" ht="10.5">
      <c r="A54" s="501"/>
      <c r="B54" s="502"/>
      <c r="C54" s="502"/>
      <c r="D54" s="503"/>
      <c r="E54" s="503"/>
      <c r="F54" s="503"/>
      <c r="G54" s="502"/>
      <c r="H54" s="502"/>
      <c r="I54" s="502"/>
      <c r="J54" s="504"/>
      <c r="K54" s="502"/>
      <c r="L54" s="502"/>
      <c r="M54" s="502"/>
      <c r="N54" s="502"/>
      <c r="P54" s="505"/>
    </row>
    <row r="55" spans="1:16" s="220" customFormat="1" ht="10.5">
      <c r="A55" s="354"/>
      <c r="B55" s="506">
        <f>SUM(B22:B53)</f>
        <v>13583.35</v>
      </c>
      <c r="C55" s="506">
        <f>SUM(C22:C53)</f>
        <v>1030.53</v>
      </c>
      <c r="D55" s="506">
        <f>SUM(D22:D53)</f>
        <v>14613.88</v>
      </c>
      <c r="E55" s="354"/>
      <c r="F55" s="507"/>
      <c r="G55" s="506">
        <f>SUM(G22:G53)</f>
        <v>3093.81</v>
      </c>
      <c r="H55" s="506">
        <f>SUM(H22:H53)</f>
        <v>346.49</v>
      </c>
      <c r="I55" s="506">
        <f>SUM(I22:I53)</f>
        <v>3440.3</v>
      </c>
      <c r="J55" s="354"/>
      <c r="K55" s="506">
        <f>SUM(K22:K53)</f>
        <v>3543.27</v>
      </c>
      <c r="L55" s="507"/>
      <c r="M55" s="506">
        <f>SUM(M22:M53)</f>
        <v>1241.2</v>
      </c>
      <c r="N55" s="506">
        <f>SUM(N22:N53)</f>
        <v>4784.47</v>
      </c>
      <c r="O55" s="249"/>
      <c r="P55" s="506">
        <f>SUM(P22:P53)</f>
        <v>356.85</v>
      </c>
    </row>
    <row r="56" spans="6:14" ht="10.5">
      <c r="F56" s="388"/>
      <c r="G56" s="388"/>
      <c r="J56"/>
      <c r="K56"/>
      <c r="L56"/>
      <c r="M56"/>
      <c r="N56"/>
    </row>
    <row r="57" spans="6:14" ht="12" customHeight="1">
      <c r="F57" s="388"/>
      <c r="G57" s="388"/>
      <c r="I57" s="491"/>
      <c r="J57"/>
      <c r="K57"/>
      <c r="L57"/>
      <c r="M57"/>
      <c r="N57"/>
    </row>
    <row r="58" spans="6:14" ht="10.5">
      <c r="F58" s="388"/>
      <c r="G58" s="388"/>
      <c r="J58" s="132"/>
      <c r="K58" s="132" t="s">
        <v>457</v>
      </c>
      <c r="L58"/>
      <c r="M58"/>
      <c r="N58"/>
    </row>
    <row r="59" spans="6:14" ht="12.75">
      <c r="F59" s="388"/>
      <c r="G59" s="388"/>
      <c r="J59" s="613" t="s">
        <v>458</v>
      </c>
      <c r="K59" s="132"/>
      <c r="L59"/>
      <c r="M59"/>
      <c r="N59"/>
    </row>
    <row r="60" spans="6:14" ht="10.5">
      <c r="F60" s="388"/>
      <c r="G60" s="388"/>
      <c r="J60"/>
      <c r="K60"/>
      <c r="L60"/>
      <c r="M60"/>
      <c r="N60"/>
    </row>
    <row r="61" spans="6:14" ht="10.5">
      <c r="F61" s="388"/>
      <c r="G61" s="388"/>
      <c r="J61"/>
      <c r="K61"/>
      <c r="L61"/>
      <c r="M61"/>
      <c r="N61"/>
    </row>
    <row r="62" spans="6:14" ht="10.5">
      <c r="F62" s="388"/>
      <c r="G62" s="388"/>
      <c r="J62"/>
      <c r="K62"/>
      <c r="L62"/>
      <c r="M62"/>
      <c r="N62"/>
    </row>
    <row r="63" spans="6:14" ht="10.5">
      <c r="F63" s="388"/>
      <c r="G63" s="388"/>
      <c r="J63"/>
      <c r="K63"/>
      <c r="L63"/>
      <c r="M63"/>
      <c r="N63"/>
    </row>
    <row r="64" spans="6:14" ht="10.5">
      <c r="F64" s="388"/>
      <c r="G64" s="388"/>
      <c r="J64"/>
      <c r="K64"/>
      <c r="L64"/>
      <c r="M64"/>
      <c r="N64"/>
    </row>
    <row r="65" spans="6:14" ht="10.5">
      <c r="F65" s="388"/>
      <c r="G65" s="388"/>
      <c r="J65"/>
      <c r="K65"/>
      <c r="L65"/>
      <c r="M65"/>
      <c r="N65"/>
    </row>
    <row r="66" spans="6:14" ht="10.5">
      <c r="F66" s="388"/>
      <c r="G66" s="388"/>
      <c r="J66"/>
      <c r="K66"/>
      <c r="L66"/>
      <c r="M66"/>
      <c r="N66"/>
    </row>
    <row r="67" spans="6:14" ht="10.5">
      <c r="F67" s="388"/>
      <c r="G67" s="388"/>
      <c r="J67"/>
      <c r="K67"/>
      <c r="L67"/>
      <c r="M67"/>
      <c r="N67"/>
    </row>
    <row r="68" spans="6:14" ht="10.5">
      <c r="F68" s="388"/>
      <c r="G68" s="388"/>
      <c r="J68"/>
      <c r="K68"/>
      <c r="L68"/>
      <c r="M68"/>
      <c r="N68"/>
    </row>
    <row r="69" spans="6:14" ht="10.5">
      <c r="F69" s="388"/>
      <c r="G69" s="388"/>
      <c r="J69"/>
      <c r="K69"/>
      <c r="L69"/>
      <c r="M69"/>
      <c r="N69"/>
    </row>
    <row r="70" spans="6:14" ht="10.5">
      <c r="F70" s="388"/>
      <c r="G70" s="388"/>
      <c r="J70"/>
      <c r="K70"/>
      <c r="L70"/>
      <c r="M70"/>
      <c r="N70"/>
    </row>
    <row r="71" spans="6:14" ht="10.5">
      <c r="F71" s="388"/>
      <c r="G71" s="388"/>
      <c r="J71"/>
      <c r="K71"/>
      <c r="L71"/>
      <c r="M71"/>
      <c r="N71"/>
    </row>
    <row r="72" spans="6:14" ht="10.5">
      <c r="F72" s="388"/>
      <c r="G72" s="388"/>
      <c r="J72"/>
      <c r="K72"/>
      <c r="L72"/>
      <c r="M72"/>
      <c r="N72"/>
    </row>
    <row r="73" spans="6:14" ht="10.5">
      <c r="F73" s="388"/>
      <c r="G73" s="388"/>
      <c r="J73"/>
      <c r="K73"/>
      <c r="L73"/>
      <c r="M73"/>
      <c r="N73"/>
    </row>
    <row r="74" spans="6:14" ht="10.5">
      <c r="F74" s="388"/>
      <c r="G74" s="388"/>
      <c r="J74"/>
      <c r="K74"/>
      <c r="L74"/>
      <c r="M74"/>
      <c r="N74"/>
    </row>
    <row r="75" spans="6:14" ht="10.5">
      <c r="F75" s="388"/>
      <c r="G75" s="388"/>
      <c r="J75"/>
      <c r="K75"/>
      <c r="L75"/>
      <c r="M75"/>
      <c r="N75"/>
    </row>
    <row r="76" spans="6:14" ht="10.5">
      <c r="F76" s="388"/>
      <c r="G76" s="388"/>
      <c r="J76"/>
      <c r="K76"/>
      <c r="L76"/>
      <c r="M76"/>
      <c r="N76"/>
    </row>
    <row r="77" spans="6:14" ht="10.5">
      <c r="F77" s="388"/>
      <c r="G77" s="388"/>
      <c r="J77"/>
      <c r="K77"/>
      <c r="L77"/>
      <c r="M77"/>
      <c r="N77"/>
    </row>
    <row r="78" spans="6:14" ht="10.5">
      <c r="F78" s="388"/>
      <c r="G78" s="388"/>
      <c r="J78"/>
      <c r="K78"/>
      <c r="L78"/>
      <c r="M78"/>
      <c r="N78"/>
    </row>
    <row r="79" spans="6:14" ht="10.5">
      <c r="F79" s="388"/>
      <c r="G79" s="388"/>
      <c r="J79"/>
      <c r="K79"/>
      <c r="L79"/>
      <c r="M79"/>
      <c r="N79"/>
    </row>
    <row r="80" spans="6:14" ht="10.5">
      <c r="F80" s="388"/>
      <c r="G80" s="388"/>
      <c r="J80"/>
      <c r="K80"/>
      <c r="L80"/>
      <c r="M80"/>
      <c r="N80"/>
    </row>
    <row r="81" spans="6:14" ht="10.5">
      <c r="F81" s="388"/>
      <c r="G81" s="388"/>
      <c r="J81"/>
      <c r="K81"/>
      <c r="L81"/>
      <c r="M81"/>
      <c r="N81"/>
    </row>
    <row r="82" spans="6:14" ht="10.5">
      <c r="F82" s="388"/>
      <c r="G82" s="388"/>
      <c r="J82"/>
      <c r="K82"/>
      <c r="L82"/>
      <c r="M82"/>
      <c r="N82"/>
    </row>
    <row r="83" spans="6:14" ht="10.5">
      <c r="F83" s="388"/>
      <c r="G83" s="388"/>
      <c r="J83"/>
      <c r="K83"/>
      <c r="L83"/>
      <c r="M83"/>
      <c r="N83"/>
    </row>
    <row r="84" spans="6:14" ht="10.5">
      <c r="F84" s="388"/>
      <c r="G84" s="388"/>
      <c r="J84"/>
      <c r="K84"/>
      <c r="L84"/>
      <c r="M84"/>
      <c r="N84"/>
    </row>
    <row r="85" spans="6:14" ht="10.5">
      <c r="F85" s="388"/>
      <c r="G85" s="388"/>
      <c r="J85"/>
      <c r="K85"/>
      <c r="L85"/>
      <c r="M85"/>
      <c r="N85"/>
    </row>
    <row r="86" spans="6:14" ht="10.5">
      <c r="F86" s="388"/>
      <c r="G86" s="388"/>
      <c r="J86"/>
      <c r="K86"/>
      <c r="L86"/>
      <c r="M86"/>
      <c r="N86"/>
    </row>
    <row r="87" spans="6:14" ht="10.5">
      <c r="F87" s="388"/>
      <c r="G87" s="388"/>
      <c r="J87"/>
      <c r="K87"/>
      <c r="L87"/>
      <c r="M87"/>
      <c r="N87"/>
    </row>
    <row r="88" spans="6:14" ht="10.5">
      <c r="F88" s="388"/>
      <c r="G88" s="388"/>
      <c r="J88"/>
      <c r="K88"/>
      <c r="L88"/>
      <c r="M88"/>
      <c r="N88"/>
    </row>
    <row r="89" spans="6:14" ht="10.5">
      <c r="F89" s="388"/>
      <c r="G89" s="388"/>
      <c r="J89"/>
      <c r="K89"/>
      <c r="L89"/>
      <c r="M89"/>
      <c r="N89"/>
    </row>
    <row r="90" spans="6:14" ht="10.5">
      <c r="F90" s="388"/>
      <c r="G90" s="388"/>
      <c r="J90"/>
      <c r="K90"/>
      <c r="L90"/>
      <c r="M90"/>
      <c r="N90"/>
    </row>
    <row r="91" spans="6:14" ht="10.5">
      <c r="F91" s="388"/>
      <c r="G91" s="388"/>
      <c r="J91"/>
      <c r="K91"/>
      <c r="L91"/>
      <c r="M91"/>
      <c r="N91"/>
    </row>
    <row r="92" spans="6:14" ht="10.5">
      <c r="F92" s="388"/>
      <c r="G92" s="388"/>
      <c r="J92"/>
      <c r="K92"/>
      <c r="L92"/>
      <c r="M92"/>
      <c r="N92"/>
    </row>
    <row r="93" spans="6:14" ht="10.5">
      <c r="F93" s="388"/>
      <c r="G93" s="388"/>
      <c r="J93"/>
      <c r="K93"/>
      <c r="L93"/>
      <c r="M93"/>
      <c r="N93"/>
    </row>
    <row r="94" spans="6:14" ht="10.5">
      <c r="F94" s="388"/>
      <c r="G94" s="388"/>
      <c r="J94"/>
      <c r="K94"/>
      <c r="L94"/>
      <c r="M94"/>
      <c r="N94"/>
    </row>
    <row r="95" spans="6:14" ht="10.5">
      <c r="F95" s="388"/>
      <c r="G95" s="388"/>
      <c r="J95"/>
      <c r="K95"/>
      <c r="L95"/>
      <c r="M95"/>
      <c r="N95"/>
    </row>
    <row r="96" spans="6:14" ht="10.5">
      <c r="F96" s="388"/>
      <c r="G96" s="388"/>
      <c r="J96"/>
      <c r="K96"/>
      <c r="L96"/>
      <c r="M96"/>
      <c r="N96"/>
    </row>
    <row r="97" spans="6:14" ht="10.5">
      <c r="F97" s="388"/>
      <c r="G97" s="388"/>
      <c r="J97"/>
      <c r="K97"/>
      <c r="L97"/>
      <c r="M97"/>
      <c r="N97"/>
    </row>
    <row r="98" spans="6:14" ht="10.5">
      <c r="F98" s="388"/>
      <c r="G98" s="388"/>
      <c r="J98"/>
      <c r="K98"/>
      <c r="L98"/>
      <c r="M98"/>
      <c r="N98"/>
    </row>
    <row r="99" spans="6:14" ht="10.5">
      <c r="F99" s="388"/>
      <c r="G99" s="388"/>
      <c r="J99"/>
      <c r="K99"/>
      <c r="L99"/>
      <c r="M99"/>
      <c r="N99"/>
    </row>
    <row r="100" spans="6:14" ht="10.5">
      <c r="F100" s="388"/>
      <c r="G100" s="388"/>
      <c r="J100"/>
      <c r="K100"/>
      <c r="L100"/>
      <c r="M100"/>
      <c r="N100"/>
    </row>
    <row r="101" spans="6:14" ht="10.5">
      <c r="F101" s="388"/>
      <c r="G101" s="388"/>
      <c r="J101"/>
      <c r="K101"/>
      <c r="L101"/>
      <c r="M101"/>
      <c r="N101"/>
    </row>
    <row r="102" spans="6:14" ht="10.5">
      <c r="F102" s="388"/>
      <c r="G102" s="388"/>
      <c r="J102"/>
      <c r="K102"/>
      <c r="L102"/>
      <c r="M102"/>
      <c r="N102"/>
    </row>
    <row r="103" spans="6:14" ht="10.5">
      <c r="F103" s="388"/>
      <c r="G103" s="388"/>
      <c r="J103"/>
      <c r="K103"/>
      <c r="L103"/>
      <c r="M103"/>
      <c r="N103"/>
    </row>
    <row r="104" spans="6:14" ht="10.5">
      <c r="F104" s="388"/>
      <c r="G104" s="388"/>
      <c r="J104"/>
      <c r="K104"/>
      <c r="L104"/>
      <c r="M104"/>
      <c r="N104"/>
    </row>
    <row r="105" spans="6:14" ht="10.5">
      <c r="F105" s="388"/>
      <c r="G105" s="388"/>
      <c r="J105"/>
      <c r="K105"/>
      <c r="L105"/>
      <c r="M105"/>
      <c r="N105"/>
    </row>
    <row r="106" spans="6:14" ht="10.5">
      <c r="F106" s="388"/>
      <c r="G106" s="388"/>
      <c r="J106"/>
      <c r="K106"/>
      <c r="L106"/>
      <c r="M106"/>
      <c r="N106"/>
    </row>
    <row r="107" spans="6:14" ht="10.5">
      <c r="F107" s="388"/>
      <c r="G107" s="388"/>
      <c r="J107"/>
      <c r="K107"/>
      <c r="L107"/>
      <c r="M107"/>
      <c r="N107"/>
    </row>
    <row r="108" spans="6:14" ht="10.5">
      <c r="F108" s="388"/>
      <c r="G108" s="388"/>
      <c r="J108"/>
      <c r="K108"/>
      <c r="L108"/>
      <c r="M108"/>
      <c r="N108"/>
    </row>
    <row r="109" spans="6:14" ht="10.5">
      <c r="F109" s="388"/>
      <c r="G109" s="388"/>
      <c r="J109"/>
      <c r="K109"/>
      <c r="L109"/>
      <c r="M109"/>
      <c r="N109"/>
    </row>
    <row r="110" spans="6:14" ht="10.5">
      <c r="F110" s="388"/>
      <c r="G110" s="388"/>
      <c r="J110"/>
      <c r="K110"/>
      <c r="L110"/>
      <c r="M110"/>
      <c r="N110"/>
    </row>
    <row r="111" spans="6:14" ht="10.5">
      <c r="F111" s="388"/>
      <c r="G111" s="388"/>
      <c r="J111"/>
      <c r="K111"/>
      <c r="L111"/>
      <c r="M111"/>
      <c r="N111"/>
    </row>
    <row r="112" spans="6:14" ht="10.5">
      <c r="F112" s="388"/>
      <c r="G112" s="388"/>
      <c r="J112"/>
      <c r="K112"/>
      <c r="L112"/>
      <c r="M112"/>
      <c r="N112"/>
    </row>
    <row r="113" spans="6:14" ht="10.5">
      <c r="F113" s="388"/>
      <c r="G113" s="388"/>
      <c r="J113"/>
      <c r="K113"/>
      <c r="L113"/>
      <c r="M113"/>
      <c r="N113"/>
    </row>
    <row r="114" spans="6:14" ht="10.5">
      <c r="F114" s="388"/>
      <c r="G114" s="388"/>
      <c r="J114"/>
      <c r="K114"/>
      <c r="L114"/>
      <c r="M114"/>
      <c r="N114"/>
    </row>
    <row r="115" spans="6:14" ht="10.5">
      <c r="F115" s="388"/>
      <c r="G115" s="388"/>
      <c r="J115"/>
      <c r="K115"/>
      <c r="L115"/>
      <c r="M115"/>
      <c r="N115"/>
    </row>
    <row r="116" spans="6:14" ht="10.5">
      <c r="F116" s="388"/>
      <c r="G116" s="388"/>
      <c r="J116"/>
      <c r="K116"/>
      <c r="L116"/>
      <c r="M116"/>
      <c r="N116"/>
    </row>
    <row r="117" spans="6:14" ht="10.5">
      <c r="F117" s="388"/>
      <c r="G117" s="388"/>
      <c r="J117"/>
      <c r="K117"/>
      <c r="L117"/>
      <c r="M117"/>
      <c r="N117"/>
    </row>
    <row r="118" spans="6:14" ht="10.5">
      <c r="F118" s="388"/>
      <c r="G118" s="388"/>
      <c r="J118"/>
      <c r="K118"/>
      <c r="L118"/>
      <c r="M118"/>
      <c r="N118"/>
    </row>
    <row r="119" spans="6:14" ht="10.5">
      <c r="F119" s="388"/>
      <c r="G119" s="388"/>
      <c r="J119"/>
      <c r="K119"/>
      <c r="L119"/>
      <c r="M119"/>
      <c r="N119"/>
    </row>
    <row r="120" spans="6:14" ht="10.5">
      <c r="F120" s="388"/>
      <c r="G120" s="388"/>
      <c r="J120"/>
      <c r="K120"/>
      <c r="L120"/>
      <c r="M120"/>
      <c r="N120"/>
    </row>
    <row r="121" spans="6:14" ht="10.5">
      <c r="F121" s="388"/>
      <c r="G121" s="388"/>
      <c r="J121"/>
      <c r="K121"/>
      <c r="L121"/>
      <c r="M121"/>
      <c r="N121"/>
    </row>
    <row r="122" spans="12:15" ht="10.5">
      <c r="L122"/>
      <c r="M122"/>
      <c r="N122"/>
      <c r="O122"/>
    </row>
    <row r="123" spans="12:15" ht="10.5">
      <c r="L123"/>
      <c r="M123"/>
      <c r="N123"/>
      <c r="O123"/>
    </row>
    <row r="124" spans="12:15" ht="10.5">
      <c r="L124"/>
      <c r="M124"/>
      <c r="N124"/>
      <c r="O124"/>
    </row>
    <row r="125" spans="12:15" ht="10.5">
      <c r="L125"/>
      <c r="M125"/>
      <c r="N125"/>
      <c r="O125"/>
    </row>
    <row r="126" spans="12:15" ht="10.5">
      <c r="L126"/>
      <c r="M126"/>
      <c r="N126"/>
      <c r="O126"/>
    </row>
    <row r="127" spans="12:15" ht="10.5">
      <c r="L127"/>
      <c r="M127"/>
      <c r="N127"/>
      <c r="O127"/>
    </row>
    <row r="128" spans="12:15" ht="10.5">
      <c r="L128"/>
      <c r="M128"/>
      <c r="N128"/>
      <c r="O128"/>
    </row>
    <row r="129" spans="12:15" ht="10.5">
      <c r="L129"/>
      <c r="M129"/>
      <c r="N129"/>
      <c r="O129"/>
    </row>
    <row r="130" spans="12:15" ht="10.5">
      <c r="L130"/>
      <c r="M130"/>
      <c r="N130"/>
      <c r="O130"/>
    </row>
    <row r="131" spans="12:15" ht="10.5">
      <c r="L131"/>
      <c r="M131"/>
      <c r="N131"/>
      <c r="O131"/>
    </row>
    <row r="132" spans="12:15" ht="10.5">
      <c r="L132"/>
      <c r="M132"/>
      <c r="N132"/>
      <c r="O132"/>
    </row>
    <row r="133" spans="12:15" ht="10.5">
      <c r="L133"/>
      <c r="M133"/>
      <c r="N133"/>
      <c r="O133"/>
    </row>
    <row r="134" spans="12:15" ht="10.5">
      <c r="L134"/>
      <c r="M134"/>
      <c r="N134"/>
      <c r="O134"/>
    </row>
    <row r="135" spans="12:15" ht="10.5">
      <c r="L135"/>
      <c r="M135"/>
      <c r="N135"/>
      <c r="O135"/>
    </row>
    <row r="136" spans="12:15" ht="10.5">
      <c r="L136"/>
      <c r="M136"/>
      <c r="N136"/>
      <c r="O136"/>
    </row>
    <row r="137" spans="12:15" ht="10.5">
      <c r="L137"/>
      <c r="M137"/>
      <c r="N137"/>
      <c r="O137"/>
    </row>
    <row r="138" spans="12:15" ht="10.5">
      <c r="L138"/>
      <c r="M138"/>
      <c r="N138"/>
      <c r="O138"/>
    </row>
    <row r="139" spans="12:15" ht="10.5">
      <c r="L139"/>
      <c r="M139"/>
      <c r="N139"/>
      <c r="O139"/>
    </row>
    <row r="140" spans="12:15" ht="10.5">
      <c r="L140"/>
      <c r="M140"/>
      <c r="N140"/>
      <c r="O140"/>
    </row>
    <row r="141" spans="12:15" ht="10.5">
      <c r="L141"/>
      <c r="M141"/>
      <c r="N141"/>
      <c r="O141"/>
    </row>
    <row r="142" spans="12:15" ht="10.5">
      <c r="L142"/>
      <c r="M142"/>
      <c r="N142"/>
      <c r="O142"/>
    </row>
    <row r="143" spans="12:15" ht="10.5">
      <c r="L143"/>
      <c r="M143"/>
      <c r="N143"/>
      <c r="O143"/>
    </row>
    <row r="144" spans="12:15" ht="10.5">
      <c r="L144"/>
      <c r="M144"/>
      <c r="N144"/>
      <c r="O144"/>
    </row>
    <row r="145" spans="12:15" ht="10.5">
      <c r="L145"/>
      <c r="M145"/>
      <c r="N145"/>
      <c r="O145"/>
    </row>
    <row r="146" spans="12:15" ht="10.5">
      <c r="L146"/>
      <c r="M146"/>
      <c r="N146"/>
      <c r="O146"/>
    </row>
    <row r="147" spans="12:15" ht="10.5">
      <c r="L147"/>
      <c r="M147"/>
      <c r="N147"/>
      <c r="O147"/>
    </row>
    <row r="148" spans="12:15" ht="10.5">
      <c r="L148"/>
      <c r="M148"/>
      <c r="N148"/>
      <c r="O148"/>
    </row>
    <row r="149" spans="12:15" ht="10.5">
      <c r="L149"/>
      <c r="M149"/>
      <c r="N149"/>
      <c r="O149"/>
    </row>
    <row r="150" spans="12:15" ht="10.5">
      <c r="L150"/>
      <c r="M150"/>
      <c r="N150"/>
      <c r="O150"/>
    </row>
    <row r="151" spans="12:15" ht="10.5">
      <c r="L151"/>
      <c r="M151"/>
      <c r="N151"/>
      <c r="O151"/>
    </row>
    <row r="152" spans="12:15" ht="10.5">
      <c r="L152"/>
      <c r="M152"/>
      <c r="N152"/>
      <c r="O152"/>
    </row>
    <row r="153" spans="12:15" ht="10.5">
      <c r="L153"/>
      <c r="M153"/>
      <c r="N153"/>
      <c r="O153"/>
    </row>
    <row r="154" spans="12:15" ht="10.5">
      <c r="L154"/>
      <c r="M154"/>
      <c r="N154"/>
      <c r="O154"/>
    </row>
    <row r="155" spans="12:15" ht="10.5">
      <c r="L155"/>
      <c r="M155"/>
      <c r="N155"/>
      <c r="O155"/>
    </row>
    <row r="156" spans="12:15" ht="10.5">
      <c r="L156"/>
      <c r="M156"/>
      <c r="N156"/>
      <c r="O156"/>
    </row>
    <row r="157" spans="12:15" ht="10.5">
      <c r="L157"/>
      <c r="M157"/>
      <c r="N157"/>
      <c r="O157"/>
    </row>
    <row r="158" spans="12:15" ht="10.5">
      <c r="L158"/>
      <c r="M158"/>
      <c r="N158"/>
      <c r="O158"/>
    </row>
    <row r="159" spans="12:15" ht="10.5">
      <c r="L159"/>
      <c r="M159"/>
      <c r="N159"/>
      <c r="O159"/>
    </row>
    <row r="160" spans="12:15" ht="10.5">
      <c r="L160"/>
      <c r="M160"/>
      <c r="N160"/>
      <c r="O160"/>
    </row>
    <row r="161" spans="12:15" ht="10.5">
      <c r="L161"/>
      <c r="M161"/>
      <c r="N161"/>
      <c r="O161"/>
    </row>
    <row r="162" spans="12:15" ht="10.5">
      <c r="L162"/>
      <c r="M162"/>
      <c r="N162"/>
      <c r="O162"/>
    </row>
    <row r="163" spans="12:15" ht="10.5">
      <c r="L163"/>
      <c r="M163"/>
      <c r="N163"/>
      <c r="O163"/>
    </row>
    <row r="164" spans="12:15" ht="10.5">
      <c r="L164"/>
      <c r="M164"/>
      <c r="N164"/>
      <c r="O164"/>
    </row>
    <row r="165" spans="12:15" ht="10.5">
      <c r="L165"/>
      <c r="M165"/>
      <c r="N165"/>
      <c r="O165"/>
    </row>
    <row r="166" spans="12:15" ht="10.5">
      <c r="L166"/>
      <c r="M166"/>
      <c r="N166"/>
      <c r="O166"/>
    </row>
    <row r="167" spans="12:15" ht="10.5">
      <c r="L167"/>
      <c r="M167"/>
      <c r="N167"/>
      <c r="O167"/>
    </row>
    <row r="168" spans="12:15" ht="10.5">
      <c r="L168"/>
      <c r="M168"/>
      <c r="N168"/>
      <c r="O168"/>
    </row>
    <row r="169" spans="12:15" ht="10.5">
      <c r="L169"/>
      <c r="M169"/>
      <c r="N169"/>
      <c r="O169"/>
    </row>
    <row r="170" spans="12:15" ht="10.5">
      <c r="L170"/>
      <c r="M170"/>
      <c r="N170"/>
      <c r="O170"/>
    </row>
    <row r="171" spans="12:15" ht="10.5">
      <c r="L171"/>
      <c r="M171"/>
      <c r="N171"/>
      <c r="O171"/>
    </row>
    <row r="172" spans="12:15" ht="10.5">
      <c r="L172"/>
      <c r="M172"/>
      <c r="N172"/>
      <c r="O172"/>
    </row>
    <row r="173" spans="12:15" ht="10.5">
      <c r="L173"/>
      <c r="M173"/>
      <c r="N173"/>
      <c r="O173"/>
    </row>
    <row r="174" spans="12:15" ht="10.5">
      <c r="L174"/>
      <c r="M174"/>
      <c r="N174"/>
      <c r="O174"/>
    </row>
    <row r="175" spans="12:15" ht="10.5">
      <c r="L175"/>
      <c r="M175"/>
      <c r="N175"/>
      <c r="O175"/>
    </row>
    <row r="176" spans="12:15" ht="10.5">
      <c r="L176"/>
      <c r="M176"/>
      <c r="N176"/>
      <c r="O176"/>
    </row>
    <row r="177" spans="12:15" ht="10.5">
      <c r="L177"/>
      <c r="M177"/>
      <c r="N177"/>
      <c r="O177"/>
    </row>
    <row r="178" spans="12:15" ht="10.5">
      <c r="L178"/>
      <c r="M178"/>
      <c r="N178"/>
      <c r="O178"/>
    </row>
    <row r="179" spans="12:15" ht="10.5">
      <c r="L179"/>
      <c r="M179"/>
      <c r="N179"/>
      <c r="O179"/>
    </row>
    <row r="180" spans="12:15" ht="10.5">
      <c r="L180"/>
      <c r="M180"/>
      <c r="N180"/>
      <c r="O180"/>
    </row>
    <row r="181" spans="12:15" ht="10.5">
      <c r="L181"/>
      <c r="M181"/>
      <c r="N181"/>
      <c r="O181"/>
    </row>
    <row r="182" spans="12:15" ht="10.5">
      <c r="L182"/>
      <c r="M182"/>
      <c r="N182"/>
      <c r="O182"/>
    </row>
    <row r="183" spans="12:15" ht="10.5">
      <c r="L183"/>
      <c r="M183"/>
      <c r="N183"/>
      <c r="O183"/>
    </row>
    <row r="184" spans="12:15" ht="10.5">
      <c r="L184"/>
      <c r="M184"/>
      <c r="N184"/>
      <c r="O184"/>
    </row>
    <row r="185" spans="12:15" ht="10.5">
      <c r="L185"/>
      <c r="M185"/>
      <c r="N185"/>
      <c r="O185"/>
    </row>
    <row r="186" spans="12:15" ht="10.5">
      <c r="L186"/>
      <c r="M186"/>
      <c r="N186"/>
      <c r="O186"/>
    </row>
    <row r="187" spans="12:15" ht="10.5">
      <c r="L187"/>
      <c r="M187"/>
      <c r="N187"/>
      <c r="O187"/>
    </row>
    <row r="188" spans="12:15" ht="10.5">
      <c r="L188"/>
      <c r="M188"/>
      <c r="N188"/>
      <c r="O188"/>
    </row>
    <row r="189" spans="12:15" ht="10.5">
      <c r="L189"/>
      <c r="M189"/>
      <c r="N189"/>
      <c r="O189"/>
    </row>
    <row r="190" spans="12:15" ht="10.5">
      <c r="L190"/>
      <c r="M190"/>
      <c r="N190"/>
      <c r="O190"/>
    </row>
    <row r="191" spans="12:15" ht="10.5">
      <c r="L191"/>
      <c r="M191"/>
      <c r="N191"/>
      <c r="O191"/>
    </row>
    <row r="192" spans="12:15" ht="10.5">
      <c r="L192"/>
      <c r="M192"/>
      <c r="N192"/>
      <c r="O192"/>
    </row>
    <row r="193" spans="12:15" ht="10.5">
      <c r="L193"/>
      <c r="M193"/>
      <c r="N193"/>
      <c r="O193"/>
    </row>
    <row r="194" spans="12:15" ht="10.5">
      <c r="L194"/>
      <c r="M194"/>
      <c r="N194"/>
      <c r="O194"/>
    </row>
    <row r="195" spans="12:15" ht="10.5">
      <c r="L195"/>
      <c r="M195"/>
      <c r="N195"/>
      <c r="O195"/>
    </row>
    <row r="196" spans="12:15" ht="10.5">
      <c r="L196"/>
      <c r="M196"/>
      <c r="N196"/>
      <c r="O196"/>
    </row>
    <row r="197" spans="12:15" ht="10.5">
      <c r="L197"/>
      <c r="M197"/>
      <c r="N197"/>
      <c r="O197"/>
    </row>
    <row r="198" spans="12:15" ht="10.5">
      <c r="L198"/>
      <c r="M198"/>
      <c r="N198"/>
      <c r="O198"/>
    </row>
    <row r="199" spans="12:15" ht="10.5">
      <c r="L199"/>
      <c r="M199"/>
      <c r="N199"/>
      <c r="O199"/>
    </row>
    <row r="200" spans="12:15" ht="10.5">
      <c r="L200"/>
      <c r="M200"/>
      <c r="N200"/>
      <c r="O200"/>
    </row>
    <row r="201" spans="12:15" ht="10.5">
      <c r="L201"/>
      <c r="M201"/>
      <c r="N201"/>
      <c r="O201"/>
    </row>
    <row r="202" spans="12:15" ht="10.5">
      <c r="L202"/>
      <c r="M202"/>
      <c r="N202"/>
      <c r="O202"/>
    </row>
    <row r="203" spans="12:15" ht="10.5">
      <c r="L203"/>
      <c r="M203"/>
      <c r="N203"/>
      <c r="O203"/>
    </row>
    <row r="204" spans="12:15" ht="10.5">
      <c r="L204"/>
      <c r="M204"/>
      <c r="N204"/>
      <c r="O204"/>
    </row>
    <row r="205" spans="12:15" ht="10.5">
      <c r="L205"/>
      <c r="M205"/>
      <c r="N205"/>
      <c r="O205"/>
    </row>
    <row r="206" spans="12:15" ht="10.5">
      <c r="L206"/>
      <c r="M206"/>
      <c r="N206"/>
      <c r="O206"/>
    </row>
    <row r="207" spans="12:15" ht="10.5">
      <c r="L207"/>
      <c r="M207"/>
      <c r="N207"/>
      <c r="O207"/>
    </row>
    <row r="208" spans="12:15" ht="10.5">
      <c r="L208"/>
      <c r="M208"/>
      <c r="N208"/>
      <c r="O208"/>
    </row>
    <row r="209" spans="12:15" ht="10.5">
      <c r="L209"/>
      <c r="M209"/>
      <c r="N209"/>
      <c r="O209"/>
    </row>
    <row r="210" spans="12:15" ht="10.5">
      <c r="L210"/>
      <c r="M210"/>
      <c r="N210"/>
      <c r="O210"/>
    </row>
    <row r="211" spans="12:15" ht="10.5">
      <c r="L211"/>
      <c r="M211"/>
      <c r="N211"/>
      <c r="O211"/>
    </row>
    <row r="212" spans="12:15" ht="10.5">
      <c r="L212"/>
      <c r="M212"/>
      <c r="N212"/>
      <c r="O212"/>
    </row>
    <row r="213" spans="12:15" ht="10.5">
      <c r="L213"/>
      <c r="M213"/>
      <c r="N213"/>
      <c r="O213"/>
    </row>
    <row r="214" spans="12:15" ht="10.5">
      <c r="L214"/>
      <c r="M214"/>
      <c r="N214"/>
      <c r="O214"/>
    </row>
    <row r="215" spans="12:15" ht="10.5">
      <c r="L215"/>
      <c r="M215"/>
      <c r="N215"/>
      <c r="O215"/>
    </row>
    <row r="216" spans="12:15" ht="10.5">
      <c r="L216"/>
      <c r="M216"/>
      <c r="N216"/>
      <c r="O216"/>
    </row>
    <row r="217" spans="12:15" ht="10.5">
      <c r="L217"/>
      <c r="M217"/>
      <c r="N217"/>
      <c r="O217"/>
    </row>
    <row r="218" spans="12:15" ht="10.5">
      <c r="L218"/>
      <c r="M218"/>
      <c r="N218"/>
      <c r="O218"/>
    </row>
    <row r="219" spans="12:15" ht="10.5">
      <c r="L219"/>
      <c r="M219"/>
      <c r="N219"/>
      <c r="O219"/>
    </row>
    <row r="220" spans="12:15" ht="10.5">
      <c r="L220"/>
      <c r="M220"/>
      <c r="N220"/>
      <c r="O220"/>
    </row>
    <row r="221" spans="12:15" ht="10.5">
      <c r="L221"/>
      <c r="M221"/>
      <c r="N221"/>
      <c r="O221"/>
    </row>
    <row r="222" spans="12:15" ht="10.5">
      <c r="L222"/>
      <c r="M222"/>
      <c r="N222"/>
      <c r="O222"/>
    </row>
    <row r="223" spans="12:15" ht="10.5">
      <c r="L223"/>
      <c r="M223"/>
      <c r="N223"/>
      <c r="O223"/>
    </row>
    <row r="224" spans="12:15" ht="10.5">
      <c r="L224"/>
      <c r="M224"/>
      <c r="N224"/>
      <c r="O224"/>
    </row>
    <row r="225" spans="12:15" ht="10.5">
      <c r="L225"/>
      <c r="M225"/>
      <c r="N225"/>
      <c r="O225"/>
    </row>
    <row r="226" spans="12:15" ht="10.5">
      <c r="L226"/>
      <c r="M226"/>
      <c r="N226"/>
      <c r="O226"/>
    </row>
    <row r="227" spans="12:15" ht="10.5">
      <c r="L227"/>
      <c r="M227"/>
      <c r="N227"/>
      <c r="O227"/>
    </row>
    <row r="228" spans="12:15" ht="10.5">
      <c r="L228"/>
      <c r="M228"/>
      <c r="N228"/>
      <c r="O228"/>
    </row>
    <row r="229" spans="12:15" ht="10.5">
      <c r="L229"/>
      <c r="M229"/>
      <c r="N229"/>
      <c r="O229"/>
    </row>
    <row r="230" spans="12:15" ht="10.5">
      <c r="L230"/>
      <c r="M230"/>
      <c r="N230"/>
      <c r="O230"/>
    </row>
    <row r="231" spans="12:15" ht="10.5">
      <c r="L231"/>
      <c r="M231"/>
      <c r="N231"/>
      <c r="O231"/>
    </row>
    <row r="232" spans="12:15" ht="10.5">
      <c r="L232"/>
      <c r="M232"/>
      <c r="N232"/>
      <c r="O232"/>
    </row>
    <row r="233" spans="12:15" ht="10.5">
      <c r="L233"/>
      <c r="M233"/>
      <c r="N233"/>
      <c r="O233"/>
    </row>
    <row r="234" spans="12:15" ht="10.5">
      <c r="L234"/>
      <c r="M234"/>
      <c r="N234"/>
      <c r="O234"/>
    </row>
    <row r="235" spans="12:15" ht="10.5">
      <c r="L235"/>
      <c r="M235"/>
      <c r="N235"/>
      <c r="O235"/>
    </row>
    <row r="236" spans="12:15" ht="10.5">
      <c r="L236"/>
      <c r="M236"/>
      <c r="N236"/>
      <c r="O236"/>
    </row>
    <row r="237" spans="12:15" ht="10.5">
      <c r="L237"/>
      <c r="M237"/>
      <c r="N237"/>
      <c r="O237"/>
    </row>
    <row r="238" spans="12:15" ht="10.5">
      <c r="L238"/>
      <c r="O238"/>
    </row>
  </sheetData>
  <sheetProtection/>
  <printOptions/>
  <pageMargins left="1.3779527559055118" right="0.5118110236220472" top="0.6692913385826772" bottom="0.5905511811023623" header="0.31496062992125984" footer="0.31496062992125984"/>
  <pageSetup horizontalDpi="600" verticalDpi="600" orientation="landscape" paperSize="9" r:id="rId1"/>
  <headerFooter>
    <oddHeader>&amp;R
Anexo: 04
Folha : 0&amp;P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C87"/>
  <sheetViews>
    <sheetView zoomScalePageLayoutView="0" workbookViewId="0" topLeftCell="A1">
      <selection activeCell="P8" sqref="P8"/>
    </sheetView>
  </sheetViews>
  <sheetFormatPr defaultColWidth="13.33203125" defaultRowHeight="10.5"/>
  <cols>
    <col min="1" max="1" width="7.83203125" style="4" customWidth="1"/>
    <col min="2" max="2" width="2" style="4" customWidth="1"/>
    <col min="3" max="3" width="20" style="4" customWidth="1"/>
    <col min="4" max="4" width="9.16015625" style="4" customWidth="1"/>
    <col min="5" max="5" width="7" style="4" customWidth="1"/>
    <col min="6" max="6" width="6.5" style="4" customWidth="1"/>
    <col min="7" max="7" width="9.5" style="4" customWidth="1"/>
    <col min="8" max="9" width="5" style="4" customWidth="1"/>
    <col min="10" max="10" width="8.66015625" style="4" customWidth="1"/>
    <col min="11" max="11" width="11" style="4" customWidth="1"/>
    <col min="12" max="12" width="10.33203125" style="388" customWidth="1"/>
    <col min="13" max="13" width="11" style="388" customWidth="1"/>
    <col min="14" max="14" width="11.83203125" style="4" customWidth="1"/>
    <col min="15" max="15" width="12.33203125" style="4" customWidth="1"/>
    <col min="16" max="16" width="12.66015625" style="4" customWidth="1"/>
    <col min="17" max="17" width="11.5" style="4" customWidth="1"/>
    <col min="18" max="18" width="15" style="4" customWidth="1"/>
    <col min="19" max="19" width="5.33203125" style="4" customWidth="1"/>
    <col min="20" max="20" width="14.33203125" style="492" customWidth="1"/>
    <col min="21" max="16384" width="13.33203125" style="4" customWidth="1"/>
  </cols>
  <sheetData>
    <row r="1" spans="1:4" s="611" customFormat="1" ht="14.25" customHeight="1">
      <c r="A1" s="610" t="s">
        <v>466</v>
      </c>
      <c r="B1" s="610"/>
      <c r="C1" s="610"/>
      <c r="D1" s="610"/>
    </row>
    <row r="2" spans="1:4" s="107" customFormat="1" ht="10.5" customHeight="1">
      <c r="A2" s="132"/>
      <c r="B2" s="612"/>
      <c r="C2" s="132"/>
      <c r="D2" s="132"/>
    </row>
    <row r="3" spans="1:4" s="107" customFormat="1" ht="10.5" customHeight="1">
      <c r="A3" s="132"/>
      <c r="B3" s="612"/>
      <c r="C3" s="132"/>
      <c r="D3" s="132"/>
    </row>
    <row r="4" spans="1:15" ht="10.5">
      <c r="A4" s="3" t="s">
        <v>382</v>
      </c>
      <c r="L4" s="390"/>
      <c r="M4" s="390"/>
      <c r="N4"/>
      <c r="O4"/>
    </row>
    <row r="5" spans="12:15" ht="10.5">
      <c r="L5" s="390"/>
      <c r="M5" s="390"/>
      <c r="N5"/>
      <c r="O5"/>
    </row>
    <row r="6" spans="1:4" s="176" customFormat="1" ht="11.25" customHeight="1">
      <c r="A6" s="175" t="s">
        <v>451</v>
      </c>
      <c r="B6" s="53"/>
      <c r="C6" s="288"/>
      <c r="D6" s="107"/>
    </row>
    <row r="7" spans="1:4" s="176" customFormat="1" ht="11.25" customHeight="1">
      <c r="A7" s="173" t="s">
        <v>453</v>
      </c>
      <c r="B7" s="16"/>
      <c r="C7" s="294"/>
      <c r="D7" s="107"/>
    </row>
    <row r="8" spans="1:4" s="176" customFormat="1" ht="11.25" customHeight="1">
      <c r="A8" s="173" t="s">
        <v>454</v>
      </c>
      <c r="B8" s="16"/>
      <c r="C8" s="294"/>
      <c r="D8" s="107"/>
    </row>
    <row r="9" spans="1:4" s="176" customFormat="1" ht="11.25" customHeight="1">
      <c r="A9" s="173" t="s">
        <v>452</v>
      </c>
      <c r="B9" s="16"/>
      <c r="C9" s="294"/>
      <c r="D9" s="107"/>
    </row>
    <row r="10" spans="1:4" s="176" customFormat="1" ht="11.25" customHeight="1">
      <c r="A10" s="175" t="s">
        <v>455</v>
      </c>
      <c r="B10" s="53"/>
      <c r="C10" s="288"/>
      <c r="D10" s="107"/>
    </row>
    <row r="11" spans="1:29" s="176" customFormat="1" ht="11.25" customHeight="1">
      <c r="A11" s="173" t="s">
        <v>460</v>
      </c>
      <c r="B11" s="16"/>
      <c r="C11" s="294"/>
      <c r="D11" s="107"/>
      <c r="X11" s="107"/>
      <c r="Y11" s="107"/>
      <c r="Z11" s="107"/>
      <c r="AA11" s="107"/>
      <c r="AB11" s="107"/>
      <c r="AC11" s="107"/>
    </row>
    <row r="12" spans="12:15" ht="15" customHeight="1" thickBot="1">
      <c r="L12" s="1"/>
      <c r="M12" s="1"/>
      <c r="N12"/>
      <c r="O12"/>
    </row>
    <row r="13" spans="1:18" ht="12" thickBot="1" thickTop="1">
      <c r="A13" s="616" t="s">
        <v>3</v>
      </c>
      <c r="B13" s="617"/>
      <c r="C13" s="618"/>
      <c r="D13" s="5" t="s">
        <v>4</v>
      </c>
      <c r="E13" s="5" t="s">
        <v>5</v>
      </c>
      <c r="F13" s="5" t="s">
        <v>6</v>
      </c>
      <c r="G13" s="5" t="s">
        <v>7</v>
      </c>
      <c r="H13" s="5" t="s">
        <v>8</v>
      </c>
      <c r="I13" s="5" t="s">
        <v>9</v>
      </c>
      <c r="J13" s="616" t="s">
        <v>10</v>
      </c>
      <c r="K13" s="618"/>
      <c r="L13" s="393" t="s">
        <v>11</v>
      </c>
      <c r="M13" s="393" t="s">
        <v>80</v>
      </c>
      <c r="N13" s="2" t="s">
        <v>101</v>
      </c>
      <c r="O13" s="2" t="s">
        <v>109</v>
      </c>
      <c r="P13" s="2" t="s">
        <v>110</v>
      </c>
      <c r="Q13" s="2" t="s">
        <v>124</v>
      </c>
      <c r="R13" s="2" t="s">
        <v>302</v>
      </c>
    </row>
    <row r="14" spans="12:19" ht="12" thickBot="1" thickTop="1">
      <c r="L14" s="395"/>
      <c r="M14" s="395"/>
      <c r="N14" s="1"/>
      <c r="O14" s="1"/>
      <c r="P14" s="1"/>
      <c r="Q14" s="1"/>
      <c r="R14" s="1"/>
      <c r="S14" s="388"/>
    </row>
    <row r="15" spans="1:20" s="16" customFormat="1" ht="11.25" thickTop="1">
      <c r="A15" s="56" t="s">
        <v>1</v>
      </c>
      <c r="B15" s="508" t="s">
        <v>33</v>
      </c>
      <c r="C15" s="158" t="s">
        <v>34</v>
      </c>
      <c r="D15" s="467" t="s">
        <v>334</v>
      </c>
      <c r="E15" s="328" t="s">
        <v>335</v>
      </c>
      <c r="F15" s="15" t="s">
        <v>37</v>
      </c>
      <c r="G15" s="15" t="s">
        <v>39</v>
      </c>
      <c r="H15" s="15" t="s">
        <v>40</v>
      </c>
      <c r="I15" s="15" t="s">
        <v>40</v>
      </c>
      <c r="J15" s="619" t="s">
        <v>336</v>
      </c>
      <c r="K15" s="620"/>
      <c r="L15" s="509" t="s">
        <v>87</v>
      </c>
      <c r="M15" s="403" t="s">
        <v>15</v>
      </c>
      <c r="N15" s="177" t="s">
        <v>13</v>
      </c>
      <c r="O15" s="177" t="s">
        <v>14</v>
      </c>
      <c r="P15" s="177" t="s">
        <v>36</v>
      </c>
      <c r="Q15" s="177" t="s">
        <v>12</v>
      </c>
      <c r="R15" s="178" t="s">
        <v>0</v>
      </c>
      <c r="S15" s="388"/>
      <c r="T15" s="228"/>
    </row>
    <row r="16" spans="1:20" s="16" customFormat="1" ht="10.5">
      <c r="A16" s="58"/>
      <c r="B16" s="17"/>
      <c r="C16" s="161"/>
      <c r="D16" s="468" t="s">
        <v>100</v>
      </c>
      <c r="E16" s="194" t="s">
        <v>100</v>
      </c>
      <c r="F16" s="18" t="s">
        <v>337</v>
      </c>
      <c r="G16" s="18" t="s">
        <v>338</v>
      </c>
      <c r="H16" s="18"/>
      <c r="I16" s="495"/>
      <c r="J16" s="194" t="s">
        <v>188</v>
      </c>
      <c r="K16" s="468" t="s">
        <v>339</v>
      </c>
      <c r="L16" s="510" t="s">
        <v>340</v>
      </c>
      <c r="M16" s="409" t="s">
        <v>316</v>
      </c>
      <c r="N16" s="179" t="s">
        <v>17</v>
      </c>
      <c r="O16" s="179" t="s">
        <v>15</v>
      </c>
      <c r="P16" s="179" t="s">
        <v>23</v>
      </c>
      <c r="Q16" s="179" t="s">
        <v>18</v>
      </c>
      <c r="R16" s="180" t="s">
        <v>19</v>
      </c>
      <c r="S16" s="388"/>
      <c r="T16" s="228"/>
    </row>
    <row r="17" spans="1:20" s="16" customFormat="1" ht="10.5">
      <c r="A17" s="58"/>
      <c r="B17" s="17"/>
      <c r="C17" s="161"/>
      <c r="D17" s="468" t="s">
        <v>315</v>
      </c>
      <c r="E17" s="194" t="s">
        <v>315</v>
      </c>
      <c r="F17" s="470" t="s">
        <v>114</v>
      </c>
      <c r="G17" s="470" t="s">
        <v>315</v>
      </c>
      <c r="H17" s="18"/>
      <c r="I17" s="495"/>
      <c r="J17" s="194" t="s">
        <v>200</v>
      </c>
      <c r="K17" s="468" t="s">
        <v>341</v>
      </c>
      <c r="L17" s="511" t="s">
        <v>342</v>
      </c>
      <c r="M17" s="450" t="s">
        <v>343</v>
      </c>
      <c r="N17" s="179" t="s">
        <v>21</v>
      </c>
      <c r="O17" s="179" t="s">
        <v>22</v>
      </c>
      <c r="P17" s="181" t="s">
        <v>26</v>
      </c>
      <c r="Q17" s="179" t="s">
        <v>2</v>
      </c>
      <c r="R17" s="471" t="s">
        <v>320</v>
      </c>
      <c r="S17" s="388"/>
      <c r="T17" s="228"/>
    </row>
    <row r="18" spans="1:20" s="16" customFormat="1" ht="10.5">
      <c r="A18" s="58"/>
      <c r="B18" s="17"/>
      <c r="C18" s="161"/>
      <c r="D18" s="468" t="s">
        <v>318</v>
      </c>
      <c r="E18" s="194" t="s">
        <v>318</v>
      </c>
      <c r="F18" s="495"/>
      <c r="G18" s="495"/>
      <c r="H18" s="495"/>
      <c r="I18" s="495"/>
      <c r="J18" s="194"/>
      <c r="K18" s="468" t="s">
        <v>344</v>
      </c>
      <c r="L18" s="511"/>
      <c r="M18" s="450" t="s">
        <v>342</v>
      </c>
      <c r="N18" s="179" t="s">
        <v>25</v>
      </c>
      <c r="O18" s="183">
        <v>42005</v>
      </c>
      <c r="P18" s="182" t="s">
        <v>28</v>
      </c>
      <c r="Q18" s="179"/>
      <c r="R18" s="474" t="s">
        <v>321</v>
      </c>
      <c r="S18" s="388"/>
      <c r="T18" s="228"/>
    </row>
    <row r="19" spans="1:20" s="16" customFormat="1" ht="10.5">
      <c r="A19" s="58"/>
      <c r="B19" s="17"/>
      <c r="C19" s="161"/>
      <c r="D19" s="468" t="s">
        <v>193</v>
      </c>
      <c r="E19" s="512"/>
      <c r="F19" s="513"/>
      <c r="G19" s="514" t="s">
        <v>318</v>
      </c>
      <c r="H19" s="495"/>
      <c r="I19" s="495"/>
      <c r="J19" s="515"/>
      <c r="K19" s="516" t="s">
        <v>200</v>
      </c>
      <c r="L19" s="511"/>
      <c r="M19" s="409"/>
      <c r="N19" s="179"/>
      <c r="O19" s="179"/>
      <c r="P19" s="476" t="s">
        <v>361</v>
      </c>
      <c r="Q19" s="179"/>
      <c r="R19" s="477">
        <v>42005</v>
      </c>
      <c r="S19" s="388"/>
      <c r="T19" s="228"/>
    </row>
    <row r="20" spans="1:20" s="16" customFormat="1" ht="11.25" thickBot="1">
      <c r="A20" s="60"/>
      <c r="B20" s="62"/>
      <c r="C20" s="19"/>
      <c r="D20" s="19"/>
      <c r="E20" s="61"/>
      <c r="F20" s="61"/>
      <c r="G20" s="61" t="s">
        <v>88</v>
      </c>
      <c r="H20" s="61"/>
      <c r="I20" s="497"/>
      <c r="J20" s="621" t="s">
        <v>345</v>
      </c>
      <c r="K20" s="622"/>
      <c r="L20" s="517" t="s">
        <v>323</v>
      </c>
      <c r="M20" s="453" t="s">
        <v>324</v>
      </c>
      <c r="N20" s="188"/>
      <c r="O20" s="187" t="s">
        <v>325</v>
      </c>
      <c r="P20" s="51">
        <v>42005</v>
      </c>
      <c r="Q20" s="518" t="s">
        <v>346</v>
      </c>
      <c r="R20" s="189" t="s">
        <v>347</v>
      </c>
      <c r="S20" s="388"/>
      <c r="T20" s="228"/>
    </row>
    <row r="21" spans="1:20" s="16" customFormat="1" ht="12.75" customHeight="1" thickTop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519"/>
      <c r="M21" s="519"/>
      <c r="N21"/>
      <c r="O21"/>
      <c r="T21" s="498" t="s">
        <v>326</v>
      </c>
    </row>
    <row r="22" spans="1:20" ht="10.5">
      <c r="A22" s="520">
        <f>'02'!A22</f>
        <v>39814</v>
      </c>
      <c r="B22" s="521" t="s">
        <v>33</v>
      </c>
      <c r="C22" s="522"/>
      <c r="D22" s="152">
        <f>'02'!W22+'03'!C22</f>
        <v>6.91</v>
      </c>
      <c r="E22" s="523"/>
      <c r="F22" s="360"/>
      <c r="G22" s="523"/>
      <c r="H22" s="524"/>
      <c r="I22" s="524"/>
      <c r="J22" s="354"/>
      <c r="K22" s="523"/>
      <c r="L22" s="502"/>
      <c r="M22" s="502"/>
      <c r="N22" s="91">
        <f>'02'!N22</f>
        <v>1.03816541</v>
      </c>
      <c r="O22" s="432">
        <f aca="true" t="shared" si="0" ref="O22:O56">M22*N22</f>
        <v>0</v>
      </c>
      <c r="P22" s="432">
        <f>'02'!P22</f>
        <v>35.03</v>
      </c>
      <c r="Q22" s="432">
        <f>O22*P22%</f>
        <v>0</v>
      </c>
      <c r="R22" s="432">
        <f>O22+Q22</f>
        <v>0</v>
      </c>
      <c r="T22" s="384">
        <f>L22*N22</f>
        <v>0</v>
      </c>
    </row>
    <row r="23" spans="1:20" ht="10.5">
      <c r="A23" s="520">
        <f>'02'!A23</f>
        <v>39845</v>
      </c>
      <c r="B23" s="521" t="s">
        <v>33</v>
      </c>
      <c r="C23" s="522"/>
      <c r="D23" s="152">
        <f>'02'!W23+'03'!C23</f>
        <v>0</v>
      </c>
      <c r="E23" s="360"/>
      <c r="F23" s="360"/>
      <c r="G23" s="360"/>
      <c r="H23" s="360"/>
      <c r="I23" s="360"/>
      <c r="J23" s="354"/>
      <c r="K23" s="523"/>
      <c r="L23" s="502"/>
      <c r="M23" s="502"/>
      <c r="N23" s="91">
        <f>'02'!N23</f>
        <v>1.03769741</v>
      </c>
      <c r="O23" s="432">
        <f t="shared" si="0"/>
        <v>0</v>
      </c>
      <c r="P23" s="432">
        <f>'02'!P23</f>
        <v>35.03</v>
      </c>
      <c r="Q23" s="432">
        <f aca="true" t="shared" si="1" ref="Q23:Q56">O23*P23%</f>
        <v>0</v>
      </c>
      <c r="R23" s="432">
        <f aca="true" t="shared" si="2" ref="R23:R56">O23+Q23</f>
        <v>0</v>
      </c>
      <c r="T23" s="384">
        <f aca="true" t="shared" si="3" ref="T23:T56">L23*N23</f>
        <v>0</v>
      </c>
    </row>
    <row r="24" spans="1:20" ht="10.5">
      <c r="A24" s="520">
        <f>'02'!A24</f>
        <v>39873</v>
      </c>
      <c r="B24" s="521" t="s">
        <v>33</v>
      </c>
      <c r="C24" s="522"/>
      <c r="D24" s="152">
        <f>'02'!W24+'03'!C24</f>
        <v>18.98</v>
      </c>
      <c r="E24" s="523"/>
      <c r="F24" s="360"/>
      <c r="G24" s="523"/>
      <c r="H24" s="524"/>
      <c r="I24" s="524"/>
      <c r="J24" s="523"/>
      <c r="K24" s="523"/>
      <c r="L24" s="502"/>
      <c r="M24" s="502"/>
      <c r="N24" s="91">
        <f>'02'!N24</f>
        <v>1.03620734</v>
      </c>
      <c r="O24" s="432">
        <f t="shared" si="0"/>
        <v>0</v>
      </c>
      <c r="P24" s="432">
        <f>'02'!P24</f>
        <v>35.03</v>
      </c>
      <c r="Q24" s="432">
        <f t="shared" si="1"/>
        <v>0</v>
      </c>
      <c r="R24" s="432">
        <f t="shared" si="2"/>
        <v>0</v>
      </c>
      <c r="T24" s="384">
        <f t="shared" si="3"/>
        <v>0</v>
      </c>
    </row>
    <row r="25" spans="1:20" ht="10.5">
      <c r="A25" s="520">
        <f>'02'!A25</f>
        <v>39904</v>
      </c>
      <c r="B25" s="521" t="s">
        <v>33</v>
      </c>
      <c r="C25" s="522"/>
      <c r="D25" s="152">
        <f>'02'!W25+'03'!C25</f>
        <v>0</v>
      </c>
      <c r="E25" s="523"/>
      <c r="F25" s="360"/>
      <c r="G25" s="523"/>
      <c r="H25" s="524"/>
      <c r="I25" s="524"/>
      <c r="J25" s="523"/>
      <c r="K25" s="523"/>
      <c r="L25" s="502"/>
      <c r="M25" s="502"/>
      <c r="N25" s="91">
        <f>'02'!N25</f>
        <v>1.03573712</v>
      </c>
      <c r="O25" s="432">
        <f t="shared" si="0"/>
        <v>0</v>
      </c>
      <c r="P25" s="432">
        <f>'02'!P25</f>
        <v>35.03</v>
      </c>
      <c r="Q25" s="432">
        <f t="shared" si="1"/>
        <v>0</v>
      </c>
      <c r="R25" s="432">
        <f t="shared" si="2"/>
        <v>0</v>
      </c>
      <c r="T25" s="384">
        <f t="shared" si="3"/>
        <v>0</v>
      </c>
    </row>
    <row r="26" spans="1:20" ht="10.5">
      <c r="A26" s="520">
        <f>'02'!A26</f>
        <v>39934</v>
      </c>
      <c r="B26" s="521" t="s">
        <v>33</v>
      </c>
      <c r="C26" s="522"/>
      <c r="D26" s="152">
        <f>'02'!W26+'03'!C26</f>
        <v>0</v>
      </c>
      <c r="E26" s="523"/>
      <c r="F26" s="360"/>
      <c r="G26" s="525"/>
      <c r="H26" s="526"/>
      <c r="I26" s="526"/>
      <c r="J26" s="354"/>
      <c r="K26" s="525"/>
      <c r="L26" s="527"/>
      <c r="M26" s="527"/>
      <c r="N26" s="91">
        <f>'02'!N26</f>
        <v>1.03527228</v>
      </c>
      <c r="O26" s="432">
        <f t="shared" si="0"/>
        <v>0</v>
      </c>
      <c r="P26" s="432">
        <f>'02'!P26</f>
        <v>35.03</v>
      </c>
      <c r="Q26" s="432">
        <f t="shared" si="1"/>
        <v>0</v>
      </c>
      <c r="R26" s="432">
        <f t="shared" si="2"/>
        <v>0</v>
      </c>
      <c r="T26" s="384">
        <f t="shared" si="3"/>
        <v>0</v>
      </c>
    </row>
    <row r="27" spans="1:20" ht="10.5">
      <c r="A27" s="520">
        <f>'02'!A27</f>
        <v>39965</v>
      </c>
      <c r="B27" s="521"/>
      <c r="C27" s="522"/>
      <c r="D27" s="152">
        <f>'02'!W27+'03'!C27</f>
        <v>0</v>
      </c>
      <c r="E27" s="523"/>
      <c r="F27" s="360"/>
      <c r="G27" s="523"/>
      <c r="H27" s="524"/>
      <c r="I27" s="524"/>
      <c r="J27" s="354"/>
      <c r="K27" s="523"/>
      <c r="L27" s="502"/>
      <c r="M27" s="502"/>
      <c r="N27" s="91">
        <f>'02'!N27</f>
        <v>1.03459358</v>
      </c>
      <c r="O27" s="432">
        <f t="shared" si="0"/>
        <v>0</v>
      </c>
      <c r="P27" s="432">
        <f>'02'!P27</f>
        <v>35.03</v>
      </c>
      <c r="Q27" s="432">
        <f t="shared" si="1"/>
        <v>0</v>
      </c>
      <c r="R27" s="432">
        <f t="shared" si="2"/>
        <v>0</v>
      </c>
      <c r="T27" s="384">
        <f t="shared" si="3"/>
        <v>0</v>
      </c>
    </row>
    <row r="28" spans="1:20" ht="10.5">
      <c r="A28" s="520">
        <f>'02'!A28</f>
        <v>39995</v>
      </c>
      <c r="B28" s="528" t="s">
        <v>33</v>
      </c>
      <c r="C28" s="529"/>
      <c r="D28" s="152">
        <f>'02'!W28+'03'!C28</f>
        <v>0</v>
      </c>
      <c r="E28" s="354"/>
      <c r="F28" s="399"/>
      <c r="G28" s="354"/>
      <c r="H28" s="536"/>
      <c r="I28" s="536"/>
      <c r="J28" s="354"/>
      <c r="K28" s="354"/>
      <c r="L28" s="535"/>
      <c r="M28" s="535"/>
      <c r="N28" s="91">
        <f>'02'!N28</f>
        <v>1.03350737</v>
      </c>
      <c r="O28" s="432">
        <f t="shared" si="0"/>
        <v>0</v>
      </c>
      <c r="P28" s="432">
        <f>'02'!P28</f>
        <v>35.03</v>
      </c>
      <c r="Q28" s="432">
        <f t="shared" si="1"/>
        <v>0</v>
      </c>
      <c r="R28" s="432">
        <f t="shared" si="2"/>
        <v>0</v>
      </c>
      <c r="T28" s="384">
        <f t="shared" si="3"/>
        <v>0</v>
      </c>
    </row>
    <row r="29" spans="1:20" ht="10.5">
      <c r="A29" s="520">
        <f>'02'!A29</f>
        <v>40026</v>
      </c>
      <c r="B29" s="521" t="s">
        <v>33</v>
      </c>
      <c r="C29" s="533"/>
      <c r="D29" s="152">
        <f>'02'!W29+'03'!C29</f>
        <v>0</v>
      </c>
      <c r="E29" s="446"/>
      <c r="F29" s="399"/>
      <c r="G29" s="446"/>
      <c r="H29" s="446"/>
      <c r="I29" s="446"/>
      <c r="J29" s="446"/>
      <c r="K29" s="446"/>
      <c r="L29" s="446"/>
      <c r="M29" s="446"/>
      <c r="N29" s="91">
        <f>'02'!N29</f>
        <v>1.03330381</v>
      </c>
      <c r="O29" s="432">
        <f t="shared" si="0"/>
        <v>0</v>
      </c>
      <c r="P29" s="432">
        <f>'02'!P29</f>
        <v>35.03</v>
      </c>
      <c r="Q29" s="432">
        <f t="shared" si="1"/>
        <v>0</v>
      </c>
      <c r="R29" s="432">
        <f t="shared" si="2"/>
        <v>0</v>
      </c>
      <c r="T29" s="384">
        <f t="shared" si="3"/>
        <v>0</v>
      </c>
    </row>
    <row r="30" spans="1:20" ht="10.5">
      <c r="A30" s="520">
        <f>'02'!A30</f>
        <v>40057</v>
      </c>
      <c r="B30" s="521" t="s">
        <v>33</v>
      </c>
      <c r="C30" s="533"/>
      <c r="D30" s="152">
        <f>'02'!W30+'03'!C30</f>
        <v>0</v>
      </c>
      <c r="E30" s="446"/>
      <c r="F30" s="399"/>
      <c r="G30" s="446"/>
      <c r="H30" s="446"/>
      <c r="I30" s="446"/>
      <c r="J30" s="446"/>
      <c r="K30" s="446"/>
      <c r="L30" s="446"/>
      <c r="M30" s="446"/>
      <c r="N30" s="91">
        <f>'02'!N30</f>
        <v>1.03330381</v>
      </c>
      <c r="O30" s="432">
        <f t="shared" si="0"/>
        <v>0</v>
      </c>
      <c r="P30" s="432">
        <f>'02'!P30</f>
        <v>35.03</v>
      </c>
      <c r="Q30" s="432">
        <f t="shared" si="1"/>
        <v>0</v>
      </c>
      <c r="R30" s="432">
        <f t="shared" si="2"/>
        <v>0</v>
      </c>
      <c r="T30" s="384">
        <f t="shared" si="3"/>
        <v>0</v>
      </c>
    </row>
    <row r="31" spans="1:20" ht="10.5">
      <c r="A31" s="520">
        <f>'02'!A31</f>
        <v>40087</v>
      </c>
      <c r="B31" s="521" t="s">
        <v>33</v>
      </c>
      <c r="C31" s="533"/>
      <c r="D31" s="152">
        <f>'02'!W31+'03'!C31</f>
        <v>3.68</v>
      </c>
      <c r="E31" s="446"/>
      <c r="F31" s="399"/>
      <c r="G31" s="446"/>
      <c r="H31" s="446"/>
      <c r="I31" s="446"/>
      <c r="J31" s="446"/>
      <c r="K31" s="446"/>
      <c r="L31" s="446"/>
      <c r="M31" s="446"/>
      <c r="N31" s="91">
        <f>'02'!N31</f>
        <v>1.03330381</v>
      </c>
      <c r="O31" s="432">
        <f t="shared" si="0"/>
        <v>0</v>
      </c>
      <c r="P31" s="432">
        <f>'02'!P31</f>
        <v>35.03</v>
      </c>
      <c r="Q31" s="432">
        <f t="shared" si="1"/>
        <v>0</v>
      </c>
      <c r="R31" s="432">
        <f t="shared" si="2"/>
        <v>0</v>
      </c>
      <c r="T31" s="384">
        <f t="shared" si="3"/>
        <v>0</v>
      </c>
    </row>
    <row r="32" spans="1:20" ht="10.5">
      <c r="A32" s="520">
        <f>'02'!A32</f>
        <v>40118</v>
      </c>
      <c r="B32" s="521" t="s">
        <v>33</v>
      </c>
      <c r="C32" s="522"/>
      <c r="D32" s="152">
        <f>'02'!W32+'03'!C32</f>
        <v>0</v>
      </c>
      <c r="E32" s="354"/>
      <c r="F32" s="399"/>
      <c r="G32" s="354"/>
      <c r="H32" s="536"/>
      <c r="I32" s="536"/>
      <c r="J32" s="354"/>
      <c r="K32" s="354"/>
      <c r="L32" s="535"/>
      <c r="M32" s="535"/>
      <c r="N32" s="91">
        <f>'02'!N32</f>
        <v>1.03330381</v>
      </c>
      <c r="O32" s="432">
        <f t="shared" si="0"/>
        <v>0</v>
      </c>
      <c r="P32" s="432">
        <f>'02'!P32</f>
        <v>35.03</v>
      </c>
      <c r="Q32" s="432">
        <f t="shared" si="1"/>
        <v>0</v>
      </c>
      <c r="R32" s="432">
        <f t="shared" si="2"/>
        <v>0</v>
      </c>
      <c r="T32" s="384">
        <f t="shared" si="3"/>
        <v>0</v>
      </c>
    </row>
    <row r="33" spans="1:20" ht="10.5">
      <c r="A33" s="520">
        <f>'02'!A33</f>
        <v>40148</v>
      </c>
      <c r="B33" s="521" t="s">
        <v>33</v>
      </c>
      <c r="C33" s="522" t="s">
        <v>348</v>
      </c>
      <c r="D33" s="152">
        <f>'02'!W33+'03'!C33</f>
        <v>11.2</v>
      </c>
      <c r="E33" s="534">
        <f>SUM(D22:D33)/12</f>
        <v>3.4</v>
      </c>
      <c r="F33" s="530">
        <f>'01'!B33</f>
        <v>7.7</v>
      </c>
      <c r="G33" s="329">
        <f>E33*F33</f>
        <v>26.18</v>
      </c>
      <c r="H33" s="531">
        <v>12</v>
      </c>
      <c r="I33" s="531">
        <v>12</v>
      </c>
      <c r="J33" s="329">
        <v>0</v>
      </c>
      <c r="K33" s="329">
        <f>G33*H33/I33</f>
        <v>26.18</v>
      </c>
      <c r="L33" s="483">
        <f>K33*11.2%</f>
        <v>2.93</v>
      </c>
      <c r="M33" s="532">
        <f>K33+L33</f>
        <v>29.11</v>
      </c>
      <c r="N33" s="91">
        <f>'02'!N33</f>
        <v>1.03275335</v>
      </c>
      <c r="O33" s="432">
        <f t="shared" si="0"/>
        <v>30.06</v>
      </c>
      <c r="P33" s="432">
        <f>'02'!P33</f>
        <v>35.03</v>
      </c>
      <c r="Q33" s="432">
        <f t="shared" si="1"/>
        <v>10.53</v>
      </c>
      <c r="R33" s="432">
        <f t="shared" si="2"/>
        <v>40.59</v>
      </c>
      <c r="T33" s="384">
        <f t="shared" si="3"/>
        <v>3.03</v>
      </c>
    </row>
    <row r="34" spans="1:20" ht="10.5">
      <c r="A34" s="520">
        <f>'02'!A34</f>
        <v>40179</v>
      </c>
      <c r="B34" s="521" t="s">
        <v>33</v>
      </c>
      <c r="C34" s="522"/>
      <c r="D34" s="152">
        <f>'02'!W34+'03'!C34</f>
        <v>0</v>
      </c>
      <c r="E34" s="399"/>
      <c r="F34" s="399"/>
      <c r="G34" s="399"/>
      <c r="H34" s="399"/>
      <c r="I34" s="399"/>
      <c r="J34" s="354"/>
      <c r="K34" s="354"/>
      <c r="L34" s="535"/>
      <c r="M34" s="535"/>
      <c r="N34" s="91">
        <f>'02'!N34</f>
        <v>1.03275335</v>
      </c>
      <c r="O34" s="432">
        <f t="shared" si="0"/>
        <v>0</v>
      </c>
      <c r="P34" s="432">
        <f>'02'!P34</f>
        <v>35.03</v>
      </c>
      <c r="Q34" s="432">
        <f t="shared" si="1"/>
        <v>0</v>
      </c>
      <c r="R34" s="432">
        <f t="shared" si="2"/>
        <v>0</v>
      </c>
      <c r="T34" s="384">
        <f t="shared" si="3"/>
        <v>0</v>
      </c>
    </row>
    <row r="35" spans="1:20" ht="10.5">
      <c r="A35" s="520">
        <f>'02'!A35</f>
        <v>40210</v>
      </c>
      <c r="B35" s="521" t="s">
        <v>33</v>
      </c>
      <c r="C35" s="533"/>
      <c r="D35" s="152">
        <f>'02'!W35+'03'!C35</f>
        <v>0</v>
      </c>
      <c r="E35" s="446"/>
      <c r="F35" s="399"/>
      <c r="G35" s="446"/>
      <c r="H35" s="446"/>
      <c r="I35" s="446"/>
      <c r="J35" s="446"/>
      <c r="K35" s="446"/>
      <c r="L35" s="446"/>
      <c r="M35" s="446"/>
      <c r="N35" s="91">
        <f>'02'!N35</f>
        <v>1.03275335</v>
      </c>
      <c r="O35" s="432">
        <f t="shared" si="0"/>
        <v>0</v>
      </c>
      <c r="P35" s="432">
        <f>'02'!P35</f>
        <v>35.03</v>
      </c>
      <c r="Q35" s="432">
        <f t="shared" si="1"/>
        <v>0</v>
      </c>
      <c r="R35" s="432">
        <f t="shared" si="2"/>
        <v>0</v>
      </c>
      <c r="T35" s="384">
        <f t="shared" si="3"/>
        <v>0</v>
      </c>
    </row>
    <row r="36" spans="1:20" ht="10.5">
      <c r="A36" s="520">
        <f>'02'!A36</f>
        <v>40238</v>
      </c>
      <c r="B36" s="521" t="s">
        <v>33</v>
      </c>
      <c r="C36" s="533"/>
      <c r="D36" s="152">
        <f>'02'!W36+'03'!C36</f>
        <v>0</v>
      </c>
      <c r="E36" s="446"/>
      <c r="F36" s="399"/>
      <c r="G36" s="446"/>
      <c r="H36" s="446"/>
      <c r="I36" s="446"/>
      <c r="J36" s="446"/>
      <c r="K36" s="446"/>
      <c r="L36" s="446"/>
      <c r="M36" s="446"/>
      <c r="N36" s="91">
        <f>'02'!N36</f>
        <v>1.03193606</v>
      </c>
      <c r="O36" s="432">
        <f t="shared" si="0"/>
        <v>0</v>
      </c>
      <c r="P36" s="432">
        <f>'02'!P36</f>
        <v>35.03</v>
      </c>
      <c r="Q36" s="432">
        <f t="shared" si="1"/>
        <v>0</v>
      </c>
      <c r="R36" s="432">
        <f t="shared" si="2"/>
        <v>0</v>
      </c>
      <c r="T36" s="384">
        <f t="shared" si="3"/>
        <v>0</v>
      </c>
    </row>
    <row r="37" spans="1:20" ht="10.5">
      <c r="A37" s="520">
        <f>'02'!A37</f>
        <v>40269</v>
      </c>
      <c r="B37" s="521" t="s">
        <v>33</v>
      </c>
      <c r="C37" s="533"/>
      <c r="D37" s="152">
        <f>'02'!W37+'03'!C37</f>
        <v>0</v>
      </c>
      <c r="E37" s="446"/>
      <c r="F37" s="399"/>
      <c r="G37" s="446"/>
      <c r="H37" s="446"/>
      <c r="I37" s="446"/>
      <c r="J37" s="446"/>
      <c r="K37" s="446"/>
      <c r="L37" s="446"/>
      <c r="M37" s="446"/>
      <c r="N37" s="91">
        <f>'02'!N37</f>
        <v>1.03193606</v>
      </c>
      <c r="O37" s="432">
        <f t="shared" si="0"/>
        <v>0</v>
      </c>
      <c r="P37" s="432">
        <f>'02'!P37</f>
        <v>35.03</v>
      </c>
      <c r="Q37" s="432">
        <f t="shared" si="1"/>
        <v>0</v>
      </c>
      <c r="R37" s="432">
        <f t="shared" si="2"/>
        <v>0</v>
      </c>
      <c r="T37" s="384">
        <f t="shared" si="3"/>
        <v>0</v>
      </c>
    </row>
    <row r="38" spans="1:20" ht="10.5">
      <c r="A38" s="520">
        <f>'02'!A38</f>
        <v>40299</v>
      </c>
      <c r="B38" s="521" t="s">
        <v>33</v>
      </c>
      <c r="C38" s="533"/>
      <c r="D38" s="152">
        <f>'02'!W38+'03'!C38</f>
        <v>11.4</v>
      </c>
      <c r="E38" s="446"/>
      <c r="F38" s="399"/>
      <c r="G38" s="446"/>
      <c r="H38" s="446"/>
      <c r="I38" s="446"/>
      <c r="J38" s="446"/>
      <c r="K38" s="446"/>
      <c r="L38" s="446"/>
      <c r="M38" s="446"/>
      <c r="N38" s="91">
        <f>'02'!N38</f>
        <v>1.03141004</v>
      </c>
      <c r="O38" s="432">
        <f t="shared" si="0"/>
        <v>0</v>
      </c>
      <c r="P38" s="432">
        <f>'02'!P38</f>
        <v>35.03</v>
      </c>
      <c r="Q38" s="432">
        <f t="shared" si="1"/>
        <v>0</v>
      </c>
      <c r="R38" s="432">
        <f t="shared" si="2"/>
        <v>0</v>
      </c>
      <c r="T38" s="384">
        <f t="shared" si="3"/>
        <v>0</v>
      </c>
    </row>
    <row r="39" spans="1:20" ht="10.5">
      <c r="A39" s="520">
        <f>'02'!A39</f>
        <v>40330</v>
      </c>
      <c r="B39" s="521" t="s">
        <v>33</v>
      </c>
      <c r="C39" s="522"/>
      <c r="D39" s="152">
        <f>'02'!W39+'03'!C39</f>
        <v>44.95</v>
      </c>
      <c r="E39" s="354"/>
      <c r="F39" s="399"/>
      <c r="G39" s="354"/>
      <c r="H39" s="536"/>
      <c r="I39" s="536"/>
      <c r="J39" s="354"/>
      <c r="K39" s="354"/>
      <c r="L39" s="535"/>
      <c r="M39" s="535"/>
      <c r="N39" s="91">
        <f>'02'!N39</f>
        <v>1.03080289</v>
      </c>
      <c r="O39" s="432">
        <f t="shared" si="0"/>
        <v>0</v>
      </c>
      <c r="P39" s="432">
        <f>'02'!P39</f>
        <v>35.03</v>
      </c>
      <c r="Q39" s="432">
        <f t="shared" si="1"/>
        <v>0</v>
      </c>
      <c r="R39" s="432">
        <f t="shared" si="2"/>
        <v>0</v>
      </c>
      <c r="T39" s="384">
        <f t="shared" si="3"/>
        <v>0</v>
      </c>
    </row>
    <row r="40" spans="1:20" ht="10.5">
      <c r="A40" s="520">
        <f>'02'!A40</f>
        <v>40360</v>
      </c>
      <c r="B40" s="521" t="s">
        <v>33</v>
      </c>
      <c r="C40" s="522"/>
      <c r="D40" s="152">
        <f>'02'!W40+'03'!C40</f>
        <v>23.55</v>
      </c>
      <c r="E40" s="354"/>
      <c r="F40" s="399"/>
      <c r="G40" s="354"/>
      <c r="H40" s="536"/>
      <c r="I40" s="536"/>
      <c r="J40" s="354"/>
      <c r="K40" s="354"/>
      <c r="L40" s="535"/>
      <c r="M40" s="535"/>
      <c r="N40" s="91">
        <f>'02'!N40</f>
        <v>1.0296178</v>
      </c>
      <c r="O40" s="432">
        <f t="shared" si="0"/>
        <v>0</v>
      </c>
      <c r="P40" s="432">
        <f>'02'!P40</f>
        <v>35.03</v>
      </c>
      <c r="Q40" s="432">
        <f t="shared" si="1"/>
        <v>0</v>
      </c>
      <c r="R40" s="432">
        <f t="shared" si="2"/>
        <v>0</v>
      </c>
      <c r="T40" s="384">
        <f t="shared" si="3"/>
        <v>0</v>
      </c>
    </row>
    <row r="41" spans="1:20" ht="10.5">
      <c r="A41" s="520">
        <f>'02'!A41</f>
        <v>40391</v>
      </c>
      <c r="B41" s="521" t="s">
        <v>33</v>
      </c>
      <c r="C41" s="533"/>
      <c r="D41" s="152">
        <f>'02'!W41+'03'!C41</f>
        <v>39.74</v>
      </c>
      <c r="E41" s="446"/>
      <c r="F41" s="399"/>
      <c r="G41" s="446"/>
      <c r="H41" s="446"/>
      <c r="I41" s="446"/>
      <c r="J41" s="446"/>
      <c r="K41" s="446"/>
      <c r="L41" s="446"/>
      <c r="M41" s="446"/>
      <c r="N41" s="91">
        <f>'02'!N41</f>
        <v>1.02868273</v>
      </c>
      <c r="O41" s="432">
        <f t="shared" si="0"/>
        <v>0</v>
      </c>
      <c r="P41" s="432">
        <f>'02'!P41</f>
        <v>35.03</v>
      </c>
      <c r="Q41" s="432">
        <f t="shared" si="1"/>
        <v>0</v>
      </c>
      <c r="R41" s="432">
        <f t="shared" si="2"/>
        <v>0</v>
      </c>
      <c r="T41" s="384">
        <f t="shared" si="3"/>
        <v>0</v>
      </c>
    </row>
    <row r="42" spans="1:20" ht="10.5">
      <c r="A42" s="520">
        <f>'02'!A42</f>
        <v>40422</v>
      </c>
      <c r="B42" s="521" t="s">
        <v>33</v>
      </c>
      <c r="C42" s="533"/>
      <c r="D42" s="152">
        <f>'02'!W42+'03'!C42</f>
        <v>0.43</v>
      </c>
      <c r="E42" s="446"/>
      <c r="F42" s="399"/>
      <c r="G42" s="446"/>
      <c r="H42" s="446"/>
      <c r="I42" s="446"/>
      <c r="J42" s="446"/>
      <c r="K42" s="446"/>
      <c r="L42" s="446"/>
      <c r="M42" s="446"/>
      <c r="N42" s="91">
        <f>'02'!N42</f>
        <v>1.0279611</v>
      </c>
      <c r="O42" s="432">
        <f t="shared" si="0"/>
        <v>0</v>
      </c>
      <c r="P42" s="432">
        <f>'02'!P42</f>
        <v>35.03</v>
      </c>
      <c r="Q42" s="432">
        <f t="shared" si="1"/>
        <v>0</v>
      </c>
      <c r="R42" s="432">
        <f t="shared" si="2"/>
        <v>0</v>
      </c>
      <c r="T42" s="384">
        <f t="shared" si="3"/>
        <v>0</v>
      </c>
    </row>
    <row r="43" spans="1:20" ht="10.5">
      <c r="A43" s="520">
        <f>'02'!A43</f>
        <v>40452</v>
      </c>
      <c r="B43" s="521" t="s">
        <v>33</v>
      </c>
      <c r="C43" s="533"/>
      <c r="D43" s="152">
        <f>'02'!W43+'03'!C43</f>
        <v>0.5</v>
      </c>
      <c r="E43" s="446"/>
      <c r="F43" s="399"/>
      <c r="G43" s="446"/>
      <c r="H43" s="446"/>
      <c r="I43" s="446"/>
      <c r="J43" s="446"/>
      <c r="K43" s="446"/>
      <c r="L43" s="446"/>
      <c r="M43" s="446"/>
      <c r="N43" s="91">
        <f>'02'!N43</f>
        <v>1.02747613</v>
      </c>
      <c r="O43" s="432">
        <f t="shared" si="0"/>
        <v>0</v>
      </c>
      <c r="P43" s="432">
        <f>'02'!P43</f>
        <v>35.03</v>
      </c>
      <c r="Q43" s="432">
        <f t="shared" si="1"/>
        <v>0</v>
      </c>
      <c r="R43" s="432">
        <f t="shared" si="2"/>
        <v>0</v>
      </c>
      <c r="T43" s="384">
        <f t="shared" si="3"/>
        <v>0</v>
      </c>
    </row>
    <row r="44" spans="1:20" ht="10.5">
      <c r="A44" s="520">
        <f>'02'!A44</f>
        <v>40483</v>
      </c>
      <c r="B44" s="521" t="s">
        <v>33</v>
      </c>
      <c r="C44" s="533"/>
      <c r="D44" s="152">
        <f>'02'!W44+'03'!C44</f>
        <v>0</v>
      </c>
      <c r="E44" s="446"/>
      <c r="F44" s="399"/>
      <c r="G44" s="446"/>
      <c r="H44" s="446"/>
      <c r="I44" s="446"/>
      <c r="J44" s="446"/>
      <c r="K44" s="446"/>
      <c r="L44" s="446"/>
      <c r="M44" s="446"/>
      <c r="N44" s="91">
        <f>'02'!N44</f>
        <v>1.02713102</v>
      </c>
      <c r="O44" s="432">
        <f t="shared" si="0"/>
        <v>0</v>
      </c>
      <c r="P44" s="432">
        <f>'02'!P44</f>
        <v>35.03</v>
      </c>
      <c r="Q44" s="432">
        <f t="shared" si="1"/>
        <v>0</v>
      </c>
      <c r="R44" s="432">
        <f t="shared" si="2"/>
        <v>0</v>
      </c>
      <c r="T44" s="384">
        <f t="shared" si="3"/>
        <v>0</v>
      </c>
    </row>
    <row r="45" spans="1:20" ht="10.5">
      <c r="A45" s="520">
        <f>'02'!A45</f>
        <v>40513</v>
      </c>
      <c r="B45" s="521" t="s">
        <v>33</v>
      </c>
      <c r="C45" s="287" t="s">
        <v>349</v>
      </c>
      <c r="D45" s="152">
        <f>'02'!W45+'03'!C45</f>
        <v>75.34</v>
      </c>
      <c r="E45" s="534">
        <f>SUM(D34:D45)/12</f>
        <v>16.33</v>
      </c>
      <c r="F45" s="530">
        <f>'01'!B45</f>
        <v>8.32</v>
      </c>
      <c r="G45" s="329">
        <f>E45*F45</f>
        <v>135.87</v>
      </c>
      <c r="H45" s="531">
        <v>12</v>
      </c>
      <c r="I45" s="531">
        <v>12</v>
      </c>
      <c r="J45" s="329">
        <v>0</v>
      </c>
      <c r="K45" s="329">
        <f>G45*H45/I45</f>
        <v>135.87</v>
      </c>
      <c r="L45" s="483">
        <f>K45*11.2%</f>
        <v>15.22</v>
      </c>
      <c r="M45" s="532">
        <f>K45+L45</f>
        <v>151.09</v>
      </c>
      <c r="N45" s="91">
        <f>'02'!N45</f>
        <v>1.0256889</v>
      </c>
      <c r="O45" s="432">
        <f t="shared" si="0"/>
        <v>154.97</v>
      </c>
      <c r="P45" s="432">
        <f>'02'!P45</f>
        <v>35.03</v>
      </c>
      <c r="Q45" s="432">
        <f t="shared" si="1"/>
        <v>54.29</v>
      </c>
      <c r="R45" s="432">
        <f t="shared" si="2"/>
        <v>209.26</v>
      </c>
      <c r="T45" s="384">
        <f t="shared" si="3"/>
        <v>15.61</v>
      </c>
    </row>
    <row r="46" spans="1:20" ht="10.5">
      <c r="A46" s="520">
        <v>40513</v>
      </c>
      <c r="B46" s="579" t="s">
        <v>33</v>
      </c>
      <c r="C46" s="287" t="s">
        <v>386</v>
      </c>
      <c r="D46" s="152">
        <f>'02'!W46+'03'!C46</f>
        <v>150.69</v>
      </c>
      <c r="E46" s="534">
        <f>SUM(D34:D45)/12</f>
        <v>16.33</v>
      </c>
      <c r="F46" s="530">
        <f>F45</f>
        <v>8.32</v>
      </c>
      <c r="G46" s="329">
        <f>E46*F46</f>
        <v>135.87</v>
      </c>
      <c r="H46" s="531">
        <v>12</v>
      </c>
      <c r="I46" s="531">
        <v>12</v>
      </c>
      <c r="J46" s="329">
        <f>G46/I46*H46</f>
        <v>135.87</v>
      </c>
      <c r="K46" s="329">
        <f>J46*1.33333</f>
        <v>181.16</v>
      </c>
      <c r="L46" s="483">
        <f>K46*11.2%</f>
        <v>20.29</v>
      </c>
      <c r="M46" s="532">
        <f>K46+L46</f>
        <v>201.45</v>
      </c>
      <c r="N46" s="91">
        <f>N45</f>
        <v>1.0256889</v>
      </c>
      <c r="O46" s="432">
        <f t="shared" si="0"/>
        <v>206.63</v>
      </c>
      <c r="P46" s="432">
        <f>P45</f>
        <v>35.03</v>
      </c>
      <c r="Q46" s="432">
        <f t="shared" si="1"/>
        <v>72.38</v>
      </c>
      <c r="R46" s="432">
        <f t="shared" si="2"/>
        <v>279.01</v>
      </c>
      <c r="T46" s="384">
        <f t="shared" si="3"/>
        <v>20.81</v>
      </c>
    </row>
    <row r="47" spans="1:20" ht="10.5">
      <c r="A47" s="520">
        <f>'02'!A46</f>
        <v>40544</v>
      </c>
      <c r="B47" s="521" t="s">
        <v>33</v>
      </c>
      <c r="C47" s="522"/>
      <c r="D47" s="152">
        <f>'02'!W47+'03'!C47</f>
        <v>56.7</v>
      </c>
      <c r="E47" s="399"/>
      <c r="F47" s="399"/>
      <c r="G47" s="399"/>
      <c r="H47" s="399"/>
      <c r="I47" s="399"/>
      <c r="J47" s="354"/>
      <c r="K47" s="354"/>
      <c r="L47" s="535"/>
      <c r="M47" s="535"/>
      <c r="N47" s="91">
        <f>'02'!N46</f>
        <v>1.02495606</v>
      </c>
      <c r="O47" s="432">
        <f t="shared" si="0"/>
        <v>0</v>
      </c>
      <c r="P47" s="432">
        <f>'02'!P46</f>
        <v>35.03</v>
      </c>
      <c r="Q47" s="432">
        <f t="shared" si="1"/>
        <v>0</v>
      </c>
      <c r="R47" s="432">
        <f t="shared" si="2"/>
        <v>0</v>
      </c>
      <c r="T47" s="384">
        <f t="shared" si="3"/>
        <v>0</v>
      </c>
    </row>
    <row r="48" spans="1:20" ht="10.5">
      <c r="A48" s="520">
        <f>'02'!A47</f>
        <v>40575</v>
      </c>
      <c r="B48" s="521" t="s">
        <v>33</v>
      </c>
      <c r="C48" s="522"/>
      <c r="D48" s="152">
        <f>'02'!W48+'03'!C48</f>
        <v>30.23</v>
      </c>
      <c r="E48" s="399"/>
      <c r="F48" s="399"/>
      <c r="G48" s="399"/>
      <c r="H48" s="399"/>
      <c r="I48" s="399"/>
      <c r="J48" s="354"/>
      <c r="K48" s="354"/>
      <c r="L48" s="535"/>
      <c r="M48" s="535"/>
      <c r="N48" s="91">
        <f>'02'!N47</f>
        <v>1.02441926</v>
      </c>
      <c r="O48" s="432">
        <f t="shared" si="0"/>
        <v>0</v>
      </c>
      <c r="P48" s="432">
        <f>'02'!P47</f>
        <v>35.03</v>
      </c>
      <c r="Q48" s="432">
        <f t="shared" si="1"/>
        <v>0</v>
      </c>
      <c r="R48" s="432">
        <f t="shared" si="2"/>
        <v>0</v>
      </c>
      <c r="T48" s="384">
        <f t="shared" si="3"/>
        <v>0</v>
      </c>
    </row>
    <row r="49" spans="1:20" ht="10.5">
      <c r="A49" s="520">
        <f>'02'!A48</f>
        <v>40603</v>
      </c>
      <c r="B49" s="521" t="s">
        <v>33</v>
      </c>
      <c r="C49" s="522"/>
      <c r="D49" s="152">
        <f>'02'!W49+'03'!C49</f>
        <v>23.5</v>
      </c>
      <c r="E49" s="399"/>
      <c r="F49" s="399"/>
      <c r="G49" s="399"/>
      <c r="H49" s="399"/>
      <c r="I49" s="399"/>
      <c r="J49" s="354"/>
      <c r="K49" s="354"/>
      <c r="L49" s="535"/>
      <c r="M49" s="535"/>
      <c r="N49" s="91">
        <f>'02'!N48</f>
        <v>1.02317917</v>
      </c>
      <c r="O49" s="432">
        <f t="shared" si="0"/>
        <v>0</v>
      </c>
      <c r="P49" s="432">
        <f>'02'!P48</f>
        <v>35.03</v>
      </c>
      <c r="Q49" s="432">
        <f t="shared" si="1"/>
        <v>0</v>
      </c>
      <c r="R49" s="432">
        <f t="shared" si="2"/>
        <v>0</v>
      </c>
      <c r="T49" s="384">
        <f t="shared" si="3"/>
        <v>0</v>
      </c>
    </row>
    <row r="50" spans="1:20" ht="10.5">
      <c r="A50" s="520">
        <f>'02'!A49</f>
        <v>40634</v>
      </c>
      <c r="B50" s="521" t="s">
        <v>33</v>
      </c>
      <c r="C50" s="522"/>
      <c r="D50" s="152">
        <f>'02'!W50+'03'!C50</f>
        <v>4.8</v>
      </c>
      <c r="E50" s="354"/>
      <c r="F50" s="399"/>
      <c r="G50" s="354"/>
      <c r="H50" s="536"/>
      <c r="I50" s="536"/>
      <c r="J50" s="354"/>
      <c r="K50" s="354"/>
      <c r="L50" s="535"/>
      <c r="M50" s="535"/>
      <c r="N50" s="91">
        <f>'02'!N49</f>
        <v>1.02280175</v>
      </c>
      <c r="O50" s="432">
        <f t="shared" si="0"/>
        <v>0</v>
      </c>
      <c r="P50" s="432">
        <f>'02'!P49</f>
        <v>35.03</v>
      </c>
      <c r="Q50" s="432">
        <f t="shared" si="1"/>
        <v>0</v>
      </c>
      <c r="R50" s="432">
        <f t="shared" si="2"/>
        <v>0</v>
      </c>
      <c r="T50" s="384">
        <f t="shared" si="3"/>
        <v>0</v>
      </c>
    </row>
    <row r="51" spans="1:20" ht="10.5">
      <c r="A51" s="520">
        <f>'02'!A50</f>
        <v>40664</v>
      </c>
      <c r="B51" s="521" t="s">
        <v>33</v>
      </c>
      <c r="C51" s="522"/>
      <c r="D51" s="152">
        <f>'02'!W51+'03'!C51</f>
        <v>0</v>
      </c>
      <c r="E51" s="354"/>
      <c r="F51" s="399"/>
      <c r="G51" s="354"/>
      <c r="H51" s="536"/>
      <c r="I51" s="536"/>
      <c r="J51" s="354"/>
      <c r="K51" s="354"/>
      <c r="L51" s="535"/>
      <c r="M51" s="535"/>
      <c r="N51" s="91">
        <f>'02'!N50</f>
        <v>1.02119847</v>
      </c>
      <c r="O51" s="432">
        <f t="shared" si="0"/>
        <v>0</v>
      </c>
      <c r="P51" s="432">
        <f>'02'!P50</f>
        <v>35.03</v>
      </c>
      <c r="Q51" s="432">
        <f t="shared" si="1"/>
        <v>0</v>
      </c>
      <c r="R51" s="432">
        <f t="shared" si="2"/>
        <v>0</v>
      </c>
      <c r="T51" s="384">
        <f t="shared" si="3"/>
        <v>0</v>
      </c>
    </row>
    <row r="52" spans="1:20" ht="10.5">
      <c r="A52" s="520">
        <f>'02'!A51</f>
        <v>40695</v>
      </c>
      <c r="B52" s="521" t="s">
        <v>33</v>
      </c>
      <c r="C52" s="522" t="s">
        <v>385</v>
      </c>
      <c r="D52" s="152">
        <f>'02'!W52+'03'!C52</f>
        <v>0</v>
      </c>
      <c r="E52" s="329">
        <f>SUM(D40:D52)/12</f>
        <v>33.79</v>
      </c>
      <c r="F52" s="530">
        <f>'01'!B51</f>
        <v>9.13</v>
      </c>
      <c r="G52" s="329">
        <f>E52*F52</f>
        <v>308.5</v>
      </c>
      <c r="H52" s="531">
        <v>12</v>
      </c>
      <c r="I52" s="531">
        <v>12</v>
      </c>
      <c r="J52" s="329">
        <f>G52/I52*H52</f>
        <v>308.5</v>
      </c>
      <c r="K52" s="329">
        <f>J52*1.33333</f>
        <v>411.33</v>
      </c>
      <c r="L52" s="483">
        <f>K52*11.2%</f>
        <v>46.07</v>
      </c>
      <c r="M52" s="532">
        <f>K52+L52</f>
        <v>457.4</v>
      </c>
      <c r="N52" s="91">
        <f>'02'!N51</f>
        <v>1.02006212</v>
      </c>
      <c r="O52" s="432">
        <f t="shared" si="0"/>
        <v>466.58</v>
      </c>
      <c r="P52" s="432">
        <f>'02'!P51</f>
        <v>35.03</v>
      </c>
      <c r="Q52" s="432">
        <f t="shared" si="1"/>
        <v>163.44</v>
      </c>
      <c r="R52" s="432">
        <f t="shared" si="2"/>
        <v>630.02</v>
      </c>
      <c r="T52" s="384">
        <f t="shared" si="3"/>
        <v>46.99</v>
      </c>
    </row>
    <row r="53" spans="1:20" ht="10.5">
      <c r="A53" s="520">
        <f>'02'!A52</f>
        <v>40725</v>
      </c>
      <c r="B53" s="521" t="s">
        <v>33</v>
      </c>
      <c r="C53" s="522"/>
      <c r="D53" s="152">
        <f>'02'!W53+'03'!C53</f>
        <v>0</v>
      </c>
      <c r="E53" s="354"/>
      <c r="F53" s="399"/>
      <c r="G53" s="354"/>
      <c r="H53" s="536"/>
      <c r="I53" s="536"/>
      <c r="J53" s="354"/>
      <c r="K53" s="354"/>
      <c r="L53" s="535"/>
      <c r="M53" s="535"/>
      <c r="N53" s="91">
        <f>'02'!N52</f>
        <v>1.01881001</v>
      </c>
      <c r="O53" s="432">
        <f t="shared" si="0"/>
        <v>0</v>
      </c>
      <c r="P53" s="432">
        <f>'02'!P52</f>
        <v>35.03</v>
      </c>
      <c r="Q53" s="432">
        <f t="shared" si="1"/>
        <v>0</v>
      </c>
      <c r="R53" s="432">
        <f t="shared" si="2"/>
        <v>0</v>
      </c>
      <c r="T53" s="384">
        <f t="shared" si="3"/>
        <v>0</v>
      </c>
    </row>
    <row r="54" spans="1:20" ht="10.5">
      <c r="A54" s="520">
        <f>'02'!A53</f>
        <v>40756</v>
      </c>
      <c r="B54" s="521" t="s">
        <v>33</v>
      </c>
      <c r="C54" s="522" t="s">
        <v>384</v>
      </c>
      <c r="D54" s="152">
        <f>'02'!W54+'03'!C54</f>
        <v>0</v>
      </c>
      <c r="E54" s="534">
        <f>SUM(D47:D54)/12</f>
        <v>9.6</v>
      </c>
      <c r="F54" s="530">
        <f>'01'!B53</f>
        <v>9.13</v>
      </c>
      <c r="G54" s="329">
        <f>E54*F54</f>
        <v>87.65</v>
      </c>
      <c r="H54" s="531">
        <v>7</v>
      </c>
      <c r="I54" s="531">
        <v>12</v>
      </c>
      <c r="J54" s="329">
        <v>0</v>
      </c>
      <c r="K54" s="329">
        <f>G54/I54*H54</f>
        <v>51.13</v>
      </c>
      <c r="L54" s="483">
        <f>K54*11.2%</f>
        <v>5.73</v>
      </c>
      <c r="M54" s="532">
        <f>K54+L54</f>
        <v>56.86</v>
      </c>
      <c r="N54" s="91">
        <f>'02'!N53</f>
        <v>1.01669934</v>
      </c>
      <c r="O54" s="432">
        <f t="shared" si="0"/>
        <v>57.81</v>
      </c>
      <c r="P54" s="432">
        <f>'02'!P53</f>
        <v>35.03</v>
      </c>
      <c r="Q54" s="432">
        <f t="shared" si="1"/>
        <v>20.25</v>
      </c>
      <c r="R54" s="432">
        <f t="shared" si="2"/>
        <v>78.06</v>
      </c>
      <c r="T54" s="384">
        <f t="shared" si="3"/>
        <v>5.83</v>
      </c>
    </row>
    <row r="55" spans="1:20" ht="10.5">
      <c r="A55" s="520">
        <v>40756</v>
      </c>
      <c r="B55" s="521" t="s">
        <v>33</v>
      </c>
      <c r="C55" s="522" t="s">
        <v>350</v>
      </c>
      <c r="D55" s="523"/>
      <c r="E55" s="329">
        <f>SUM(D42:D54)/12</f>
        <v>28.52</v>
      </c>
      <c r="F55" s="530">
        <f>F54</f>
        <v>9.13</v>
      </c>
      <c r="G55" s="329">
        <f>E55*F55</f>
        <v>260.39</v>
      </c>
      <c r="H55" s="531">
        <v>7</v>
      </c>
      <c r="I55" s="531">
        <v>12</v>
      </c>
      <c r="J55" s="329">
        <f>G55/I55*H55</f>
        <v>151.89</v>
      </c>
      <c r="K55" s="329">
        <f>J55*1.333333</f>
        <v>202.52</v>
      </c>
      <c r="L55" s="483">
        <v>0</v>
      </c>
      <c r="M55" s="532">
        <f>K55+L55</f>
        <v>202.52</v>
      </c>
      <c r="N55" s="91">
        <f>N54</f>
        <v>1.01669934</v>
      </c>
      <c r="O55" s="432">
        <f t="shared" si="0"/>
        <v>205.9</v>
      </c>
      <c r="P55" s="432">
        <f>P54</f>
        <v>35.03</v>
      </c>
      <c r="Q55" s="432">
        <f t="shared" si="1"/>
        <v>72.13</v>
      </c>
      <c r="R55" s="432">
        <f t="shared" si="2"/>
        <v>278.03</v>
      </c>
      <c r="T55" s="384">
        <f t="shared" si="3"/>
        <v>0</v>
      </c>
    </row>
    <row r="56" spans="1:20" ht="10.5">
      <c r="A56" s="520">
        <f>A55</f>
        <v>40756</v>
      </c>
      <c r="B56" s="521" t="s">
        <v>33</v>
      </c>
      <c r="C56" s="522" t="s">
        <v>241</v>
      </c>
      <c r="D56" s="523"/>
      <c r="E56" s="329">
        <f>E55</f>
        <v>28.52</v>
      </c>
      <c r="F56" s="530">
        <f>F55</f>
        <v>9.13</v>
      </c>
      <c r="G56" s="329">
        <f>E56*F56</f>
        <v>260.39</v>
      </c>
      <c r="H56" s="531">
        <v>30</v>
      </c>
      <c r="I56" s="531">
        <v>30</v>
      </c>
      <c r="J56" s="329">
        <v>0</v>
      </c>
      <c r="K56" s="329">
        <f>G56/I56*H56</f>
        <v>260.39</v>
      </c>
      <c r="L56" s="483">
        <f>K56*11.2%</f>
        <v>29.16</v>
      </c>
      <c r="M56" s="532">
        <f>K56+L56</f>
        <v>289.55</v>
      </c>
      <c r="N56" s="91">
        <f>N55</f>
        <v>1.01669934</v>
      </c>
      <c r="O56" s="432">
        <f t="shared" si="0"/>
        <v>294.39</v>
      </c>
      <c r="P56" s="432">
        <f>P55</f>
        <v>35.03</v>
      </c>
      <c r="Q56" s="432">
        <f t="shared" si="1"/>
        <v>103.12</v>
      </c>
      <c r="R56" s="432">
        <f t="shared" si="2"/>
        <v>397.51</v>
      </c>
      <c r="T56" s="384">
        <f t="shared" si="3"/>
        <v>29.65</v>
      </c>
    </row>
    <row r="57" spans="1:20" ht="10.5">
      <c r="A57" s="501"/>
      <c r="B57" s="537"/>
      <c r="C57" s="261"/>
      <c r="D57" s="523"/>
      <c r="E57" s="523"/>
      <c r="F57" s="360"/>
      <c r="G57" s="525"/>
      <c r="H57" s="526"/>
      <c r="I57" s="526"/>
      <c r="J57" s="354"/>
      <c r="K57" s="525"/>
      <c r="L57" s="527"/>
      <c r="M57" s="527"/>
      <c r="N57" s="504"/>
      <c r="O57" s="502"/>
      <c r="P57" s="502"/>
      <c r="Q57" s="502"/>
      <c r="R57" s="502"/>
      <c r="T57" s="538"/>
    </row>
    <row r="58" spans="1:20" s="248" customFormat="1" ht="10.5">
      <c r="A58" s="486"/>
      <c r="B58" s="486"/>
      <c r="C58" s="486"/>
      <c r="D58" s="488"/>
      <c r="E58" s="486"/>
      <c r="F58" s="488"/>
      <c r="G58" s="486"/>
      <c r="H58" s="488"/>
      <c r="I58" s="486"/>
      <c r="J58" s="486"/>
      <c r="K58" s="487">
        <f>SUM(K22:K56)</f>
        <v>1268.58</v>
      </c>
      <c r="L58" s="487">
        <f>SUM(L22:L56)</f>
        <v>119.4</v>
      </c>
      <c r="M58" s="487">
        <f>SUM(M22:M56)</f>
        <v>1387.98</v>
      </c>
      <c r="N58" s="486"/>
      <c r="O58" s="487">
        <f>SUM(O22:O56)</f>
        <v>1416.34</v>
      </c>
      <c r="P58" s="488"/>
      <c r="Q58" s="487">
        <f>SUM(Q22:Q56)</f>
        <v>496.14</v>
      </c>
      <c r="R58" s="487">
        <f>SUM(R22:R56)</f>
        <v>1912.48</v>
      </c>
      <c r="T58" s="385">
        <f>SUM(T22:T56)</f>
        <v>121.92</v>
      </c>
    </row>
    <row r="59" spans="8:18" ht="10.5">
      <c r="H59" s="3" t="s">
        <v>351</v>
      </c>
      <c r="K59" s="487">
        <f>K58-K55</f>
        <v>1066.06</v>
      </c>
      <c r="N59"/>
      <c r="O59"/>
      <c r="P59"/>
      <c r="Q59"/>
      <c r="R59"/>
    </row>
    <row r="60" spans="14:18" ht="10.5">
      <c r="N60"/>
      <c r="O60"/>
      <c r="P60"/>
      <c r="Q60"/>
      <c r="R60"/>
    </row>
    <row r="61" spans="10:18" ht="12" customHeight="1">
      <c r="J61" s="491"/>
      <c r="N61"/>
      <c r="O61"/>
      <c r="P61"/>
      <c r="Q61"/>
      <c r="R61"/>
    </row>
    <row r="62" spans="11:18" ht="10.5">
      <c r="K62" s="132"/>
      <c r="L62" s="132"/>
      <c r="N62" s="132"/>
      <c r="O62" s="132" t="s">
        <v>457</v>
      </c>
      <c r="P62"/>
      <c r="Q62"/>
      <c r="R62"/>
    </row>
    <row r="63" spans="11:18" ht="12.75">
      <c r="K63" s="613"/>
      <c r="L63" s="132"/>
      <c r="N63" s="613" t="s">
        <v>458</v>
      </c>
      <c r="O63" s="132"/>
      <c r="P63"/>
      <c r="Q63"/>
      <c r="R63"/>
    </row>
    <row r="64" spans="14:18" ht="10.5">
      <c r="N64"/>
      <c r="O64"/>
      <c r="P64"/>
      <c r="Q64"/>
      <c r="R64"/>
    </row>
    <row r="65" spans="14:18" ht="10.5">
      <c r="N65"/>
      <c r="O65"/>
      <c r="P65"/>
      <c r="Q65"/>
      <c r="R65"/>
    </row>
    <row r="66" spans="14:18" ht="10.5">
      <c r="N66"/>
      <c r="O66"/>
      <c r="P66"/>
      <c r="Q66"/>
      <c r="R66"/>
    </row>
    <row r="67" spans="14:18" ht="10.5">
      <c r="N67"/>
      <c r="O67"/>
      <c r="P67"/>
      <c r="Q67"/>
      <c r="R67"/>
    </row>
    <row r="68" spans="14:18" ht="10.5">
      <c r="N68"/>
      <c r="O68"/>
      <c r="P68"/>
      <c r="Q68"/>
      <c r="R68"/>
    </row>
    <row r="69" spans="14:18" ht="10.5">
      <c r="N69"/>
      <c r="O69"/>
      <c r="P69"/>
      <c r="Q69"/>
      <c r="R69"/>
    </row>
    <row r="70" spans="14:18" ht="10.5">
      <c r="N70"/>
      <c r="O70"/>
      <c r="P70"/>
      <c r="Q70"/>
      <c r="R70"/>
    </row>
    <row r="71" spans="14:18" ht="10.5">
      <c r="N71"/>
      <c r="O71"/>
      <c r="P71"/>
      <c r="Q71"/>
      <c r="R71"/>
    </row>
    <row r="72" spans="14:18" ht="10.5">
      <c r="N72"/>
      <c r="O72"/>
      <c r="P72"/>
      <c r="Q72"/>
      <c r="R72"/>
    </row>
    <row r="73" spans="14:18" ht="10.5">
      <c r="N73"/>
      <c r="O73"/>
      <c r="P73"/>
      <c r="Q73"/>
      <c r="R73"/>
    </row>
    <row r="74" spans="14:18" ht="10.5">
      <c r="N74"/>
      <c r="O74"/>
      <c r="P74"/>
      <c r="Q74"/>
      <c r="R74"/>
    </row>
    <row r="75" spans="14:18" ht="10.5">
      <c r="N75"/>
      <c r="O75"/>
      <c r="P75"/>
      <c r="Q75"/>
      <c r="R75"/>
    </row>
    <row r="76" spans="14:18" ht="10.5">
      <c r="N76"/>
      <c r="O76"/>
      <c r="P76"/>
      <c r="Q76"/>
      <c r="R76"/>
    </row>
    <row r="77" spans="14:18" ht="10.5">
      <c r="N77"/>
      <c r="O77"/>
      <c r="P77"/>
      <c r="Q77"/>
      <c r="R77"/>
    </row>
    <row r="78" spans="14:18" ht="10.5">
      <c r="N78"/>
      <c r="O78"/>
      <c r="P78"/>
      <c r="Q78"/>
      <c r="R78"/>
    </row>
    <row r="79" spans="14:18" ht="10.5">
      <c r="N79"/>
      <c r="O79"/>
      <c r="P79"/>
      <c r="Q79"/>
      <c r="R79"/>
    </row>
    <row r="80" spans="14:18" ht="10.5">
      <c r="N80"/>
      <c r="O80"/>
      <c r="P80"/>
      <c r="Q80"/>
      <c r="R80"/>
    </row>
    <row r="81" spans="14:18" ht="10.5">
      <c r="N81"/>
      <c r="O81"/>
      <c r="P81"/>
      <c r="Q81"/>
      <c r="R81"/>
    </row>
    <row r="82" spans="14:18" ht="10.5">
      <c r="N82"/>
      <c r="O82"/>
      <c r="P82"/>
      <c r="Q82"/>
      <c r="R82"/>
    </row>
    <row r="83" spans="14:18" ht="10.5">
      <c r="N83"/>
      <c r="O83"/>
      <c r="P83"/>
      <c r="Q83"/>
      <c r="R83"/>
    </row>
    <row r="84" spans="14:18" ht="10.5">
      <c r="N84"/>
      <c r="O84"/>
      <c r="P84"/>
      <c r="Q84"/>
      <c r="R84"/>
    </row>
    <row r="85" spans="14:18" ht="10.5">
      <c r="N85"/>
      <c r="O85"/>
      <c r="P85"/>
      <c r="Q85"/>
      <c r="R85"/>
    </row>
    <row r="86" spans="14:18" ht="10.5">
      <c r="N86"/>
      <c r="O86"/>
      <c r="P86"/>
      <c r="Q86"/>
      <c r="R86"/>
    </row>
    <row r="87" spans="14:18" ht="10.5">
      <c r="N87"/>
      <c r="O87"/>
      <c r="P87"/>
      <c r="Q87"/>
      <c r="R87"/>
    </row>
  </sheetData>
  <sheetProtection/>
  <mergeCells count="4">
    <mergeCell ref="A13:C13"/>
    <mergeCell ref="J13:K13"/>
    <mergeCell ref="J15:K15"/>
    <mergeCell ref="J20:K20"/>
  </mergeCells>
  <printOptions/>
  <pageMargins left="0.5905511811023623" right="0.5118110236220472" top="0.6692913385826772" bottom="0.5905511811023623" header="0.31496062992125984" footer="0.31496062992125984"/>
  <pageSetup horizontalDpi="600" verticalDpi="600" orientation="landscape" paperSize="9" scale="95" r:id="rId1"/>
  <headerFooter>
    <oddHeader>&amp;R
Anexo: 05
Folha : 0&amp;P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C34"/>
  <sheetViews>
    <sheetView zoomScalePageLayoutView="0" workbookViewId="0" topLeftCell="A1">
      <selection activeCell="K7" sqref="K7"/>
    </sheetView>
  </sheetViews>
  <sheetFormatPr defaultColWidth="9.33203125" defaultRowHeight="10.5"/>
  <cols>
    <col min="1" max="1" width="7.83203125" style="4" customWidth="1"/>
    <col min="2" max="2" width="3" style="4" customWidth="1"/>
    <col min="3" max="3" width="25.83203125" style="4" customWidth="1"/>
    <col min="4" max="4" width="9.83203125" style="4" customWidth="1"/>
    <col min="5" max="6" width="6.83203125" style="309" customWidth="1"/>
    <col min="7" max="7" width="11.83203125" style="4" customWidth="1"/>
    <col min="8" max="9" width="11.66015625" style="4" customWidth="1"/>
    <col min="10" max="10" width="12.16015625" style="435" customWidth="1"/>
    <col min="11" max="11" width="12.83203125" style="4" customWidth="1"/>
    <col min="12" max="12" width="13.33203125" style="4" customWidth="1"/>
    <col min="13" max="13" width="12.16015625" style="4" customWidth="1"/>
    <col min="14" max="14" width="13.33203125" style="4" customWidth="1"/>
    <col min="15" max="15" width="3.16015625" style="4" customWidth="1"/>
    <col min="16" max="16" width="11.83203125" style="4" customWidth="1"/>
    <col min="17" max="17" width="2.83203125" style="4" customWidth="1"/>
    <col min="18" max="18" width="9.33203125" style="366" customWidth="1"/>
    <col min="19" max="19" width="3.16015625" style="4" customWidth="1"/>
    <col min="20" max="20" width="12.5" style="4" customWidth="1"/>
    <col min="21" max="16384" width="9.33203125" style="4" customWidth="1"/>
  </cols>
  <sheetData>
    <row r="1" spans="1:4" s="611" customFormat="1" ht="14.25" customHeight="1">
      <c r="A1" s="610" t="s">
        <v>467</v>
      </c>
      <c r="B1" s="610"/>
      <c r="C1" s="610"/>
      <c r="D1" s="610"/>
    </row>
    <row r="2" spans="1:4" s="107" customFormat="1" ht="10.5" customHeight="1">
      <c r="A2" s="132"/>
      <c r="B2" s="612"/>
      <c r="C2" s="132"/>
      <c r="D2" s="132"/>
    </row>
    <row r="3" spans="1:4" s="107" customFormat="1" ht="10.5" customHeight="1">
      <c r="A3" s="132"/>
      <c r="B3" s="612"/>
      <c r="C3" s="132"/>
      <c r="D3" s="132"/>
    </row>
    <row r="4" spans="1:18" s="16" customFormat="1" ht="10.5">
      <c r="A4" s="173" t="s">
        <v>203</v>
      </c>
      <c r="E4" s="224"/>
      <c r="F4" s="224"/>
      <c r="J4" s="434"/>
      <c r="R4" s="156"/>
    </row>
    <row r="5" spans="1:3" ht="9.75" customHeight="1">
      <c r="A5" s="131"/>
      <c r="B5" s="131"/>
      <c r="C5" s="131"/>
    </row>
    <row r="6" spans="1:4" s="176" customFormat="1" ht="11.25" customHeight="1">
      <c r="A6" s="175" t="s">
        <v>451</v>
      </c>
      <c r="B6" s="53"/>
      <c r="C6" s="288"/>
      <c r="D6" s="107"/>
    </row>
    <row r="7" spans="1:4" s="176" customFormat="1" ht="11.25" customHeight="1">
      <c r="A7" s="173" t="s">
        <v>453</v>
      </c>
      <c r="B7" s="16"/>
      <c r="C7" s="294"/>
      <c r="D7" s="107"/>
    </row>
    <row r="8" spans="1:4" s="176" customFormat="1" ht="11.25" customHeight="1">
      <c r="A8" s="173" t="s">
        <v>454</v>
      </c>
      <c r="B8" s="16"/>
      <c r="C8" s="294"/>
      <c r="D8" s="107"/>
    </row>
    <row r="9" spans="1:4" s="176" customFormat="1" ht="11.25" customHeight="1">
      <c r="A9" s="173" t="s">
        <v>452</v>
      </c>
      <c r="B9" s="16"/>
      <c r="C9" s="294"/>
      <c r="D9" s="107"/>
    </row>
    <row r="10" spans="1:4" s="176" customFormat="1" ht="11.25" customHeight="1">
      <c r="A10" s="175" t="s">
        <v>455</v>
      </c>
      <c r="B10" s="53"/>
      <c r="C10" s="288"/>
      <c r="D10" s="107"/>
    </row>
    <row r="11" spans="1:29" s="176" customFormat="1" ht="11.25" customHeight="1">
      <c r="A11" s="173" t="s">
        <v>460</v>
      </c>
      <c r="B11" s="16"/>
      <c r="C11" s="294"/>
      <c r="D11" s="107"/>
      <c r="X11" s="107"/>
      <c r="Y11" s="107"/>
      <c r="Z11" s="107"/>
      <c r="AA11" s="107"/>
      <c r="AB11" s="107"/>
      <c r="AC11" s="107"/>
    </row>
    <row r="12" ht="15" customHeight="1" thickBot="1"/>
    <row r="13" spans="1:14" ht="12" thickBot="1" thickTop="1">
      <c r="A13" s="623" t="s">
        <v>3</v>
      </c>
      <c r="B13" s="624"/>
      <c r="C13" s="625"/>
      <c r="D13" s="113" t="s">
        <v>4</v>
      </c>
      <c r="E13" s="113" t="s">
        <v>5</v>
      </c>
      <c r="F13" s="113" t="s">
        <v>6</v>
      </c>
      <c r="G13" s="113" t="s">
        <v>7</v>
      </c>
      <c r="H13" s="113" t="s">
        <v>8</v>
      </c>
      <c r="I13" s="113" t="s">
        <v>9</v>
      </c>
      <c r="J13" s="436" t="s">
        <v>10</v>
      </c>
      <c r="K13" s="113" t="s">
        <v>11</v>
      </c>
      <c r="L13" s="113" t="s">
        <v>80</v>
      </c>
      <c r="M13" s="113" t="s">
        <v>101</v>
      </c>
      <c r="N13" s="113" t="s">
        <v>109</v>
      </c>
    </row>
    <row r="14" spans="1:12" ht="12" thickBot="1" thickTop="1">
      <c r="A14" s="132"/>
      <c r="B14" s="132"/>
      <c r="C14" s="132"/>
      <c r="D14" s="132"/>
      <c r="E14" s="310"/>
      <c r="F14" s="310"/>
      <c r="G14" s="132"/>
      <c r="H14" s="132"/>
      <c r="I14" s="132"/>
      <c r="J14" s="437"/>
      <c r="K14" s="132"/>
      <c r="L14" s="107"/>
    </row>
    <row r="15" spans="1:14" ht="11.25" thickTop="1">
      <c r="A15" s="133" t="s">
        <v>1</v>
      </c>
      <c r="B15" s="134" t="s">
        <v>33</v>
      </c>
      <c r="C15" s="135" t="s">
        <v>34</v>
      </c>
      <c r="D15" s="136" t="s">
        <v>37</v>
      </c>
      <c r="E15" s="136" t="s">
        <v>40</v>
      </c>
      <c r="F15" s="136" t="s">
        <v>40</v>
      </c>
      <c r="G15" s="136" t="s">
        <v>14</v>
      </c>
      <c r="H15" s="297" t="s">
        <v>190</v>
      </c>
      <c r="I15" s="137" t="s">
        <v>12</v>
      </c>
      <c r="J15" s="438" t="s">
        <v>102</v>
      </c>
      <c r="K15" s="15" t="s">
        <v>15</v>
      </c>
      <c r="L15" s="15" t="s">
        <v>36</v>
      </c>
      <c r="M15" s="15" t="s">
        <v>39</v>
      </c>
      <c r="N15" s="138" t="s">
        <v>15</v>
      </c>
    </row>
    <row r="16" spans="1:14" ht="11.25">
      <c r="A16" s="139"/>
      <c r="B16" s="140"/>
      <c r="C16" s="307"/>
      <c r="D16" s="141" t="s">
        <v>98</v>
      </c>
      <c r="E16" s="301" t="s">
        <v>99</v>
      </c>
      <c r="F16" s="301" t="s">
        <v>99</v>
      </c>
      <c r="G16" s="301" t="s">
        <v>16</v>
      </c>
      <c r="H16" s="301" t="s">
        <v>191</v>
      </c>
      <c r="I16" s="142" t="s">
        <v>16</v>
      </c>
      <c r="J16" s="439" t="s">
        <v>103</v>
      </c>
      <c r="K16" s="18" t="s">
        <v>103</v>
      </c>
      <c r="L16" s="279" t="s">
        <v>171</v>
      </c>
      <c r="M16" s="18" t="s">
        <v>104</v>
      </c>
      <c r="N16" s="143" t="s">
        <v>103</v>
      </c>
    </row>
    <row r="17" spans="1:14" ht="11.25">
      <c r="A17" s="139"/>
      <c r="B17" s="140"/>
      <c r="C17" s="307"/>
      <c r="D17" s="301" t="s">
        <v>221</v>
      </c>
      <c r="E17" s="301" t="s">
        <v>38</v>
      </c>
      <c r="F17" s="301" t="s">
        <v>38</v>
      </c>
      <c r="G17" s="141"/>
      <c r="H17" s="301" t="s">
        <v>192</v>
      </c>
      <c r="I17" s="314" t="s">
        <v>192</v>
      </c>
      <c r="J17" s="439" t="s">
        <v>105</v>
      </c>
      <c r="K17" s="18" t="s">
        <v>105</v>
      </c>
      <c r="L17" s="279" t="s">
        <v>172</v>
      </c>
      <c r="M17" s="18" t="s">
        <v>2</v>
      </c>
      <c r="N17" s="143" t="s">
        <v>106</v>
      </c>
    </row>
    <row r="18" spans="1:14" ht="11.25">
      <c r="A18" s="139"/>
      <c r="B18" s="140"/>
      <c r="C18" s="307"/>
      <c r="D18" s="301" t="s">
        <v>189</v>
      </c>
      <c r="E18" s="141"/>
      <c r="F18" s="141"/>
      <c r="G18" s="141"/>
      <c r="H18" s="301" t="s">
        <v>193</v>
      </c>
      <c r="I18" s="314" t="s">
        <v>205</v>
      </c>
      <c r="J18" s="439"/>
      <c r="K18" s="18" t="s">
        <v>107</v>
      </c>
      <c r="L18" s="280" t="s">
        <v>234</v>
      </c>
      <c r="M18" s="18"/>
      <c r="N18" s="413" t="s">
        <v>264</v>
      </c>
    </row>
    <row r="19" spans="1:14" ht="10.5">
      <c r="A19" s="139"/>
      <c r="B19" s="140"/>
      <c r="C19" s="307"/>
      <c r="D19" s="141"/>
      <c r="E19" s="141"/>
      <c r="F19" s="141"/>
      <c r="G19" s="141"/>
      <c r="H19" s="301" t="s">
        <v>239</v>
      </c>
      <c r="I19" s="142"/>
      <c r="J19" s="439"/>
      <c r="K19" s="195">
        <v>42005</v>
      </c>
      <c r="L19" s="168">
        <v>42005</v>
      </c>
      <c r="M19" s="18"/>
      <c r="N19" s="420">
        <v>42005</v>
      </c>
    </row>
    <row r="20" spans="1:20" ht="11.25" thickBot="1">
      <c r="A20" s="144"/>
      <c r="B20" s="145"/>
      <c r="C20" s="313"/>
      <c r="D20" s="146"/>
      <c r="E20" s="146"/>
      <c r="F20" s="146"/>
      <c r="G20" s="146"/>
      <c r="H20" s="311" t="s">
        <v>248</v>
      </c>
      <c r="I20" s="315" t="s">
        <v>249</v>
      </c>
      <c r="J20" s="440"/>
      <c r="K20" s="197" t="s">
        <v>198</v>
      </c>
      <c r="L20" s="148" t="s">
        <v>108</v>
      </c>
      <c r="M20" s="196" t="s">
        <v>251</v>
      </c>
      <c r="N20" s="198" t="s">
        <v>250</v>
      </c>
      <c r="P20" s="382" t="s">
        <v>240</v>
      </c>
      <c r="Q20" s="10"/>
      <c r="R20" s="463" t="s">
        <v>87</v>
      </c>
      <c r="T20" s="382" t="s">
        <v>241</v>
      </c>
    </row>
    <row r="21" ht="11.25" thickTop="1"/>
    <row r="22" spans="1:20" ht="10.5">
      <c r="A22" s="378">
        <v>40756</v>
      </c>
      <c r="B22" s="149" t="s">
        <v>33</v>
      </c>
      <c r="C22" s="308" t="s">
        <v>237</v>
      </c>
      <c r="D22" s="150">
        <f>'01'!D53</f>
        <v>2008.6</v>
      </c>
      <c r="E22" s="379" t="s">
        <v>246</v>
      </c>
      <c r="F22" s="379" t="s">
        <v>247</v>
      </c>
      <c r="G22" s="150">
        <v>535.63</v>
      </c>
      <c r="H22" s="151">
        <f>G22*11.2%</f>
        <v>59.99</v>
      </c>
      <c r="I22" s="150">
        <f>G22+H22</f>
        <v>595.62</v>
      </c>
      <c r="J22" s="442">
        <f>Corr!H55</f>
        <v>1.016699337</v>
      </c>
      <c r="K22" s="152">
        <f>I22*J22</f>
        <v>605.57</v>
      </c>
      <c r="L22" s="153">
        <v>35.03</v>
      </c>
      <c r="M22" s="154">
        <f>K22*L22%</f>
        <v>212.13</v>
      </c>
      <c r="N22" s="154">
        <f>K22+M22</f>
        <v>817.7</v>
      </c>
      <c r="P22" s="381"/>
      <c r="R22" s="368">
        <f>H22*J22</f>
        <v>60.99</v>
      </c>
      <c r="T22" s="381"/>
    </row>
    <row r="23" spans="1:20" ht="10.5">
      <c r="A23" s="378">
        <f>A22</f>
        <v>40756</v>
      </c>
      <c r="B23" s="149" t="s">
        <v>33</v>
      </c>
      <c r="C23" s="308" t="s">
        <v>173</v>
      </c>
      <c r="D23" s="150">
        <f>D22</f>
        <v>2008.6</v>
      </c>
      <c r="E23" s="379" t="s">
        <v>247</v>
      </c>
      <c r="F23" s="379" t="s">
        <v>247</v>
      </c>
      <c r="G23" s="150">
        <f>D23</f>
        <v>2008.6</v>
      </c>
      <c r="H23" s="151">
        <f>G23*11.2%</f>
        <v>224.96</v>
      </c>
      <c r="I23" s="150">
        <f>G23+H23</f>
        <v>2233.56</v>
      </c>
      <c r="J23" s="442">
        <f>J22</f>
        <v>1.016699337</v>
      </c>
      <c r="K23" s="152">
        <f>I23*J23</f>
        <v>2270.86</v>
      </c>
      <c r="L23" s="153">
        <f>L22</f>
        <v>35.03</v>
      </c>
      <c r="M23" s="154">
        <f>K23*L23%</f>
        <v>795.48</v>
      </c>
      <c r="N23" s="154">
        <f>K23+M23</f>
        <v>3066.34</v>
      </c>
      <c r="P23" s="381"/>
      <c r="R23" s="368">
        <f>H23*J23</f>
        <v>228.72</v>
      </c>
      <c r="T23" s="384">
        <f>G23*J23</f>
        <v>2042.14</v>
      </c>
    </row>
    <row r="24" spans="1:20" ht="10.5">
      <c r="A24" s="378">
        <f>A23</f>
        <v>40756</v>
      </c>
      <c r="B24" s="149" t="s">
        <v>33</v>
      </c>
      <c r="C24" s="308" t="s">
        <v>449</v>
      </c>
      <c r="D24" s="150">
        <f>D23</f>
        <v>2008.6</v>
      </c>
      <c r="E24" s="379" t="s">
        <v>244</v>
      </c>
      <c r="F24" s="379" t="s">
        <v>243</v>
      </c>
      <c r="G24" s="150">
        <f>D24/F24*E24</f>
        <v>1004.3</v>
      </c>
      <c r="H24" s="151">
        <v>0</v>
      </c>
      <c r="I24" s="150">
        <f>G24+H24</f>
        <v>1004.3</v>
      </c>
      <c r="J24" s="442">
        <f>J23</f>
        <v>1.016699337</v>
      </c>
      <c r="K24" s="152">
        <f>I24*J24</f>
        <v>1021.07</v>
      </c>
      <c r="L24" s="153">
        <f>L23</f>
        <v>35.03</v>
      </c>
      <c r="M24" s="154">
        <f>K24*L24%</f>
        <v>357.68</v>
      </c>
      <c r="N24" s="154">
        <f>K24+M24</f>
        <v>1378.75</v>
      </c>
      <c r="P24" s="383">
        <f>K24</f>
        <v>1021.07</v>
      </c>
      <c r="R24" s="368">
        <f>H24*J24</f>
        <v>0</v>
      </c>
      <c r="T24" s="381"/>
    </row>
    <row r="25" spans="1:20" ht="10.5">
      <c r="A25" s="378">
        <f>A24</f>
        <v>40756</v>
      </c>
      <c r="B25" s="312" t="s">
        <v>33</v>
      </c>
      <c r="C25" s="308" t="s">
        <v>238</v>
      </c>
      <c r="D25" s="150">
        <v>2008.6</v>
      </c>
      <c r="E25" s="379" t="s">
        <v>245</v>
      </c>
      <c r="F25" s="379" t="s">
        <v>243</v>
      </c>
      <c r="G25" s="150">
        <f>D25/F25*E25</f>
        <v>1171.68</v>
      </c>
      <c r="H25" s="151">
        <f>G25*11.2%</f>
        <v>131.23</v>
      </c>
      <c r="I25" s="150">
        <f>G25+H25</f>
        <v>1302.91</v>
      </c>
      <c r="J25" s="442">
        <f>J24</f>
        <v>1.016699337</v>
      </c>
      <c r="K25" s="152">
        <f>I25*J25</f>
        <v>1324.67</v>
      </c>
      <c r="L25" s="153">
        <f>L23</f>
        <v>35.03</v>
      </c>
      <c r="M25" s="154">
        <f>K25*L25%</f>
        <v>464.03</v>
      </c>
      <c r="N25" s="154">
        <f>K25+M25</f>
        <v>1788.7</v>
      </c>
      <c r="P25" s="381"/>
      <c r="R25" s="368">
        <f>H25*J25</f>
        <v>133.42</v>
      </c>
      <c r="T25" s="381"/>
    </row>
    <row r="26" ht="9.75" customHeight="1">
      <c r="N26" s="21"/>
    </row>
    <row r="27" spans="4:20" s="248" customFormat="1" ht="11.25" customHeight="1">
      <c r="D27" s="262"/>
      <c r="E27" s="316"/>
      <c r="F27" s="316"/>
      <c r="G27" s="281">
        <f>SUM(G22:G25)</f>
        <v>4720.21</v>
      </c>
      <c r="H27" s="281">
        <f>SUM(H22:H25)</f>
        <v>416.18</v>
      </c>
      <c r="I27" s="281">
        <f>SUM(I22:I25)</f>
        <v>5136.39</v>
      </c>
      <c r="J27" s="441"/>
      <c r="K27" s="281">
        <f>SUM(K22:K25)</f>
        <v>5222.17</v>
      </c>
      <c r="M27" s="281">
        <f>SUM(M22:M25)</f>
        <v>1829.32</v>
      </c>
      <c r="N27" s="281">
        <f>SUM(N22:N25)</f>
        <v>7051.49</v>
      </c>
      <c r="P27" s="380">
        <f>SUM(P22:P26)</f>
        <v>1021.07</v>
      </c>
      <c r="R27" s="367">
        <f>SUM(R22:R26)</f>
        <v>423.13</v>
      </c>
      <c r="T27" s="385">
        <f>T23</f>
        <v>2042.14</v>
      </c>
    </row>
    <row r="28" ht="4.5" customHeight="1">
      <c r="D28" s="155"/>
    </row>
    <row r="29" spans="4:7" ht="10.5">
      <c r="D29" s="10" t="s">
        <v>242</v>
      </c>
      <c r="G29" s="386">
        <f>G27-G24</f>
        <v>3715.91</v>
      </c>
    </row>
    <row r="30" spans="4:7" ht="10.5">
      <c r="D30" s="10"/>
      <c r="G30" s="615"/>
    </row>
    <row r="31" ht="10.5">
      <c r="D31" s="3"/>
    </row>
    <row r="32" spans="4:10" ht="10.5">
      <c r="D32" s="317"/>
      <c r="E32" s="318"/>
      <c r="F32" s="318"/>
      <c r="G32" s="317"/>
      <c r="H32" s="10"/>
      <c r="I32" s="132"/>
      <c r="J32" s="132" t="s">
        <v>457</v>
      </c>
    </row>
    <row r="33" spans="4:10" ht="12.75">
      <c r="D33" s="317"/>
      <c r="E33" s="318"/>
      <c r="F33" s="318"/>
      <c r="G33" s="317"/>
      <c r="H33" s="10"/>
      <c r="I33" s="613" t="s">
        <v>458</v>
      </c>
      <c r="J33" s="132"/>
    </row>
    <row r="34" spans="4:9" ht="10.5">
      <c r="D34" s="10"/>
      <c r="E34" s="319"/>
      <c r="F34" s="319"/>
      <c r="G34" s="10"/>
      <c r="H34" s="10"/>
      <c r="I34" s="10"/>
    </row>
  </sheetData>
  <sheetProtection/>
  <mergeCells count="1">
    <mergeCell ref="A13:C13"/>
  </mergeCells>
  <printOptions/>
  <pageMargins left="0.9055118110236221" right="0.5118110236220472" top="0.7874015748031497" bottom="0.7874015748031497" header="0.31496062992125984" footer="0.31496062992125984"/>
  <pageSetup horizontalDpi="600" verticalDpi="600" orientation="landscape" paperSize="9" r:id="rId1"/>
  <headerFooter>
    <oddHeader>&amp;R
Anexo: 06
Folha : 0&amp;P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C26"/>
  <sheetViews>
    <sheetView zoomScalePageLayoutView="0" workbookViewId="0" topLeftCell="A1">
      <selection activeCell="N17" sqref="N17"/>
    </sheetView>
  </sheetViews>
  <sheetFormatPr defaultColWidth="9.33203125" defaultRowHeight="10.5"/>
  <cols>
    <col min="1" max="1" width="9.16015625" style="388" customWidth="1"/>
    <col min="2" max="2" width="13.83203125" style="388" customWidth="1"/>
    <col min="3" max="3" width="12.5" style="388" customWidth="1"/>
    <col min="4" max="4" width="13.83203125" style="388" customWidth="1"/>
    <col min="5" max="5" width="15" style="388" customWidth="1"/>
    <col min="6" max="6" width="13.83203125" style="388" customWidth="1"/>
    <col min="7" max="7" width="15.83203125" style="388" customWidth="1"/>
    <col min="8" max="8" width="13" style="388" customWidth="1"/>
    <col min="9" max="9" width="16.5" style="388" customWidth="1"/>
    <col min="10" max="16384" width="9.33203125" style="388" customWidth="1"/>
  </cols>
  <sheetData>
    <row r="1" spans="1:4" s="611" customFormat="1" ht="14.25" customHeight="1">
      <c r="A1" s="610" t="s">
        <v>461</v>
      </c>
      <c r="B1" s="610"/>
      <c r="C1" s="610"/>
      <c r="D1" s="610"/>
    </row>
    <row r="2" spans="1:4" s="107" customFormat="1" ht="10.5" customHeight="1">
      <c r="A2" s="132"/>
      <c r="B2" s="612"/>
      <c r="C2" s="132"/>
      <c r="D2" s="132"/>
    </row>
    <row r="3" spans="1:4" s="107" customFormat="1" ht="10.5" customHeight="1">
      <c r="A3" s="132"/>
      <c r="B3" s="612"/>
      <c r="C3" s="132"/>
      <c r="D3" s="132"/>
    </row>
    <row r="4" spans="1:4" ht="10.5">
      <c r="A4" s="389" t="s">
        <v>263</v>
      </c>
      <c r="B4" s="390"/>
      <c r="C4" s="390"/>
      <c r="D4" s="390"/>
    </row>
    <row r="5" spans="1:4" ht="10.5">
      <c r="A5" s="390"/>
      <c r="B5" s="390"/>
      <c r="C5" s="390"/>
      <c r="D5" s="390"/>
    </row>
    <row r="6" spans="1:4" s="176" customFormat="1" ht="11.25" customHeight="1">
      <c r="A6" s="175" t="s">
        <v>451</v>
      </c>
      <c r="B6" s="53"/>
      <c r="C6" s="288"/>
      <c r="D6" s="107"/>
    </row>
    <row r="7" spans="1:4" s="176" customFormat="1" ht="11.25" customHeight="1">
      <c r="A7" s="173" t="s">
        <v>453</v>
      </c>
      <c r="B7" s="16"/>
      <c r="C7" s="294"/>
      <c r="D7" s="107"/>
    </row>
    <row r="8" spans="1:4" s="176" customFormat="1" ht="11.25" customHeight="1">
      <c r="A8" s="173" t="s">
        <v>454</v>
      </c>
      <c r="B8" s="16"/>
      <c r="C8" s="294"/>
      <c r="D8" s="107"/>
    </row>
    <row r="9" spans="1:4" s="176" customFormat="1" ht="11.25" customHeight="1">
      <c r="A9" s="173" t="s">
        <v>452</v>
      </c>
      <c r="B9" s="16"/>
      <c r="C9" s="294"/>
      <c r="D9" s="107"/>
    </row>
    <row r="10" spans="1:4" s="176" customFormat="1" ht="11.25" customHeight="1">
      <c r="A10" s="175" t="s">
        <v>455</v>
      </c>
      <c r="B10" s="53"/>
      <c r="C10" s="288"/>
      <c r="D10" s="107"/>
    </row>
    <row r="11" spans="1:29" s="176" customFormat="1" ht="11.25" customHeight="1">
      <c r="A11" s="173" t="s">
        <v>468</v>
      </c>
      <c r="B11" s="16"/>
      <c r="C11" s="294"/>
      <c r="D11" s="107"/>
      <c r="X11" s="107"/>
      <c r="Y11" s="107"/>
      <c r="Z11" s="107"/>
      <c r="AA11" s="107"/>
      <c r="AB11" s="107"/>
      <c r="AC11" s="107"/>
    </row>
    <row r="12" spans="1:4" s="176" customFormat="1" ht="15" customHeight="1" thickBot="1">
      <c r="A12" s="173"/>
      <c r="B12" s="16"/>
      <c r="C12" s="294"/>
      <c r="D12" s="107"/>
    </row>
    <row r="13" spans="1:9" ht="12" thickBot="1" thickTop="1">
      <c r="A13" s="392" t="s">
        <v>3</v>
      </c>
      <c r="B13" s="393" t="s">
        <v>4</v>
      </c>
      <c r="C13" s="393" t="s">
        <v>5</v>
      </c>
      <c r="D13" s="393" t="s">
        <v>6</v>
      </c>
      <c r="E13" s="393" t="s">
        <v>7</v>
      </c>
      <c r="F13" s="55" t="s">
        <v>8</v>
      </c>
      <c r="G13" s="55" t="s">
        <v>9</v>
      </c>
      <c r="H13" s="55" t="s">
        <v>10</v>
      </c>
      <c r="I13" s="55" t="s">
        <v>11</v>
      </c>
    </row>
    <row r="14" spans="1:9" s="399" customFormat="1" ht="12" thickBot="1" thickTop="1">
      <c r="A14" s="394"/>
      <c r="B14" s="395"/>
      <c r="C14" s="395"/>
      <c r="D14" s="395"/>
      <c r="E14" s="396"/>
      <c r="F14" s="397"/>
      <c r="G14" s="65"/>
      <c r="H14" s="398"/>
      <c r="I14" s="65"/>
    </row>
    <row r="15" spans="1:9" ht="10.5" customHeight="1" thickTop="1">
      <c r="A15" s="400" t="s">
        <v>1</v>
      </c>
      <c r="B15" s="401" t="s">
        <v>67</v>
      </c>
      <c r="C15" s="402" t="s">
        <v>252</v>
      </c>
      <c r="D15" s="403" t="s">
        <v>12</v>
      </c>
      <c r="E15" s="158" t="s">
        <v>13</v>
      </c>
      <c r="F15" s="404" t="s">
        <v>15</v>
      </c>
      <c r="G15" s="15" t="s">
        <v>36</v>
      </c>
      <c r="H15" s="405" t="s">
        <v>12</v>
      </c>
      <c r="I15" s="138" t="s">
        <v>15</v>
      </c>
    </row>
    <row r="16" spans="1:9" ht="11.25" customHeight="1">
      <c r="A16" s="406"/>
      <c r="B16" s="407" t="s">
        <v>253</v>
      </c>
      <c r="C16" s="408" t="s">
        <v>254</v>
      </c>
      <c r="D16" s="409" t="s">
        <v>16</v>
      </c>
      <c r="E16" s="161" t="s">
        <v>17</v>
      </c>
      <c r="F16" s="410" t="s">
        <v>103</v>
      </c>
      <c r="G16" s="18" t="s">
        <v>23</v>
      </c>
      <c r="H16" s="411" t="s">
        <v>18</v>
      </c>
      <c r="I16" s="143" t="s">
        <v>255</v>
      </c>
    </row>
    <row r="17" spans="1:9" ht="12" customHeight="1">
      <c r="A17" s="406"/>
      <c r="B17" s="407" t="s">
        <v>256</v>
      </c>
      <c r="C17" s="408" t="s">
        <v>226</v>
      </c>
      <c r="D17" s="409"/>
      <c r="E17" s="161" t="s">
        <v>21</v>
      </c>
      <c r="F17" s="410" t="s">
        <v>105</v>
      </c>
      <c r="G17" s="412" t="s">
        <v>26</v>
      </c>
      <c r="H17" s="411" t="s">
        <v>2</v>
      </c>
      <c r="I17" s="413" t="s">
        <v>27</v>
      </c>
    </row>
    <row r="18" spans="1:9" ht="12" customHeight="1">
      <c r="A18" s="406"/>
      <c r="B18" s="407"/>
      <c r="C18" s="414"/>
      <c r="D18" s="409"/>
      <c r="E18" s="161" t="s">
        <v>25</v>
      </c>
      <c r="F18" s="410"/>
      <c r="G18" s="415" t="s">
        <v>28</v>
      </c>
      <c r="H18" s="416"/>
      <c r="I18" s="413" t="s">
        <v>257</v>
      </c>
    </row>
    <row r="19" spans="1:9" ht="11.25" customHeight="1">
      <c r="A19" s="406"/>
      <c r="B19" s="407"/>
      <c r="C19" s="414"/>
      <c r="D19" s="409"/>
      <c r="E19" s="417" t="s">
        <v>258</v>
      </c>
      <c r="F19" s="418"/>
      <c r="G19" s="419" t="s">
        <v>234</v>
      </c>
      <c r="H19" s="416"/>
      <c r="I19" s="420">
        <v>42005</v>
      </c>
    </row>
    <row r="20" spans="1:9" ht="11.25" thickBot="1">
      <c r="A20" s="421"/>
      <c r="B20" s="422"/>
      <c r="C20" s="423"/>
      <c r="D20" s="424" t="s">
        <v>259</v>
      </c>
      <c r="E20" s="425">
        <v>42005</v>
      </c>
      <c r="F20" s="426" t="s">
        <v>260</v>
      </c>
      <c r="G20" s="165">
        <v>42005</v>
      </c>
      <c r="H20" s="427" t="s">
        <v>261</v>
      </c>
      <c r="I20" s="198" t="s">
        <v>262</v>
      </c>
    </row>
    <row r="21" spans="1:4" s="399" customFormat="1" ht="11.25" thickTop="1">
      <c r="A21" s="428"/>
      <c r="B21" s="428"/>
      <c r="C21" s="429"/>
      <c r="D21" s="429"/>
    </row>
    <row r="22" spans="1:9" ht="10.5">
      <c r="A22" s="305">
        <f>'06'!A25</f>
        <v>40756</v>
      </c>
      <c r="B22" s="430">
        <v>1010.34</v>
      </c>
      <c r="C22" s="431">
        <v>5</v>
      </c>
      <c r="D22" s="432">
        <f>B22*C22</f>
        <v>5051.7</v>
      </c>
      <c r="E22" s="433">
        <f>Corr!H55</f>
        <v>1.016699337</v>
      </c>
      <c r="F22" s="336">
        <f>D22*E22</f>
        <v>5136.06</v>
      </c>
      <c r="G22" s="329">
        <f>'06'!L22</f>
        <v>35.03</v>
      </c>
      <c r="H22" s="172">
        <f>F22*G22%</f>
        <v>1799.16</v>
      </c>
      <c r="I22" s="337">
        <f>F22+H22</f>
        <v>6935.22</v>
      </c>
    </row>
    <row r="25" spans="6:7" ht="10.5">
      <c r="F25" s="132"/>
      <c r="G25" s="132" t="s">
        <v>457</v>
      </c>
    </row>
    <row r="26" spans="6:7" ht="12.75">
      <c r="F26" s="613" t="s">
        <v>458</v>
      </c>
      <c r="G26" s="132"/>
    </row>
  </sheetData>
  <sheetProtection/>
  <printOptions/>
  <pageMargins left="1.8897637795275593" right="0.5118110236220472" top="0.984251968503937" bottom="0.7874015748031497" header="0.31496062992125984" footer="0.31496062992125984"/>
  <pageSetup horizontalDpi="600" verticalDpi="600" orientation="landscape" paperSize="9" r:id="rId1"/>
  <headerFooter>
    <oddHeader>&amp;R
Anexo: 07
Folha : 0&amp;P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N20" sqref="N20"/>
    </sheetView>
  </sheetViews>
  <sheetFormatPr defaultColWidth="9.33203125" defaultRowHeight="11.25" customHeight="1"/>
  <cols>
    <col min="1" max="1" width="8.83203125" style="128" customWidth="1"/>
    <col min="2" max="2" width="3.16015625" style="128" customWidth="1"/>
    <col min="3" max="3" width="18.66015625" style="128" customWidth="1"/>
    <col min="4" max="4" width="13.66015625" style="115" customWidth="1"/>
    <col min="5" max="5" width="13.33203125" style="129" customWidth="1"/>
    <col min="6" max="6" width="12.5" style="129" customWidth="1"/>
    <col min="7" max="7" width="14.33203125" style="129" customWidth="1"/>
    <col min="8" max="8" width="11.5" style="107" customWidth="1"/>
    <col min="9" max="9" width="13.5" style="108" customWidth="1"/>
    <col min="10" max="16384" width="9.33203125" style="109" customWidth="1"/>
  </cols>
  <sheetData>
    <row r="1" spans="1:4" s="611" customFormat="1" ht="14.25" customHeight="1">
      <c r="A1" s="610" t="s">
        <v>462</v>
      </c>
      <c r="B1" s="610"/>
      <c r="C1" s="610"/>
      <c r="D1" s="610"/>
    </row>
    <row r="2" spans="1:4" s="107" customFormat="1" ht="10.5" customHeight="1">
      <c r="A2" s="132"/>
      <c r="B2" s="612"/>
      <c r="C2" s="132"/>
      <c r="D2" s="132"/>
    </row>
    <row r="3" spans="1:4" s="107" customFormat="1" ht="10.5" customHeight="1">
      <c r="A3" s="132"/>
      <c r="B3" s="612"/>
      <c r="C3" s="132"/>
      <c r="D3" s="132"/>
    </row>
    <row r="4" spans="1:7" ht="11.25" customHeight="1">
      <c r="A4" s="330" t="s">
        <v>207</v>
      </c>
      <c r="B4" s="111"/>
      <c r="C4" s="111"/>
      <c r="D4" s="106"/>
      <c r="E4" s="106"/>
      <c r="F4" s="106"/>
      <c r="G4" s="106"/>
    </row>
    <row r="5" spans="1:7" ht="11.25" customHeight="1">
      <c r="A5" s="111"/>
      <c r="B5" s="111"/>
      <c r="C5" s="111"/>
      <c r="D5" s="106"/>
      <c r="E5" s="106"/>
      <c r="F5" s="106"/>
      <c r="G5" s="106"/>
    </row>
    <row r="6" spans="1:4" s="176" customFormat="1" ht="11.25" customHeight="1">
      <c r="A6" s="175" t="s">
        <v>451</v>
      </c>
      <c r="B6" s="53"/>
      <c r="C6" s="288"/>
      <c r="D6" s="107"/>
    </row>
    <row r="7" spans="1:4" s="176" customFormat="1" ht="11.25" customHeight="1">
      <c r="A7" s="173" t="s">
        <v>453</v>
      </c>
      <c r="B7" s="16"/>
      <c r="C7" s="294"/>
      <c r="D7" s="107"/>
    </row>
    <row r="8" spans="1:4" s="176" customFormat="1" ht="11.25" customHeight="1">
      <c r="A8" s="173" t="s">
        <v>454</v>
      </c>
      <c r="B8" s="16"/>
      <c r="C8" s="294"/>
      <c r="D8" s="107"/>
    </row>
    <row r="9" spans="1:4" s="176" customFormat="1" ht="11.25" customHeight="1">
      <c r="A9" s="173" t="s">
        <v>452</v>
      </c>
      <c r="B9" s="16"/>
      <c r="C9" s="294"/>
      <c r="D9" s="107"/>
    </row>
    <row r="10" spans="1:4" s="176" customFormat="1" ht="11.25" customHeight="1">
      <c r="A10" s="175" t="s">
        <v>455</v>
      </c>
      <c r="B10" s="53"/>
      <c r="C10" s="288"/>
      <c r="D10" s="107"/>
    </row>
    <row r="11" spans="1:4" s="176" customFormat="1" ht="11.25" customHeight="1">
      <c r="A11" s="173" t="s">
        <v>235</v>
      </c>
      <c r="B11" s="16"/>
      <c r="C11" s="294"/>
      <c r="D11" s="107"/>
    </row>
    <row r="12" spans="1:4" s="176" customFormat="1" ht="11.25" customHeight="1">
      <c r="A12" s="173" t="s">
        <v>236</v>
      </c>
      <c r="B12" s="16"/>
      <c r="C12" s="294"/>
      <c r="D12" s="107"/>
    </row>
    <row r="13" spans="1:8" ht="15" customHeight="1" thickBot="1">
      <c r="A13" s="16"/>
      <c r="B13" s="16"/>
      <c r="C13" s="16"/>
      <c r="D13" s="109"/>
      <c r="E13" s="108"/>
      <c r="F13" s="108"/>
      <c r="G13" s="108"/>
      <c r="H13" s="112"/>
    </row>
    <row r="14" spans="1:9" ht="11.25" customHeight="1" thickBot="1" thickTop="1">
      <c r="A14" s="626" t="s">
        <v>3</v>
      </c>
      <c r="B14" s="627"/>
      <c r="C14" s="628"/>
      <c r="D14" s="113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</row>
    <row r="15" spans="1:9" ht="11.25" customHeight="1" thickBot="1" thickTop="1">
      <c r="A15" s="114"/>
      <c r="B15" s="114"/>
      <c r="C15" s="114"/>
      <c r="D15" s="114"/>
      <c r="E15" s="190"/>
      <c r="F15" s="190"/>
      <c r="G15" s="190"/>
      <c r="H15" s="190"/>
      <c r="I15" s="190"/>
    </row>
    <row r="16" spans="1:9" s="120" customFormat="1" ht="11.25" customHeight="1" thickTop="1">
      <c r="A16" s="116" t="s">
        <v>1</v>
      </c>
      <c r="B16" s="117" t="s">
        <v>33</v>
      </c>
      <c r="C16" s="118" t="s">
        <v>34</v>
      </c>
      <c r="D16" s="119" t="s">
        <v>37</v>
      </c>
      <c r="E16" s="177" t="s">
        <v>13</v>
      </c>
      <c r="F16" s="177" t="s">
        <v>14</v>
      </c>
      <c r="G16" s="177" t="s">
        <v>36</v>
      </c>
      <c r="H16" s="177" t="s">
        <v>12</v>
      </c>
      <c r="I16" s="178" t="s">
        <v>0</v>
      </c>
    </row>
    <row r="17" spans="1:9" s="120" customFormat="1" ht="11.25" customHeight="1">
      <c r="A17" s="121"/>
      <c r="B17" s="110"/>
      <c r="C17" s="122"/>
      <c r="D17" s="123" t="s">
        <v>98</v>
      </c>
      <c r="E17" s="179" t="s">
        <v>17</v>
      </c>
      <c r="F17" s="179" t="s">
        <v>15</v>
      </c>
      <c r="G17" s="179" t="s">
        <v>23</v>
      </c>
      <c r="H17" s="179" t="s">
        <v>18</v>
      </c>
      <c r="I17" s="180" t="s">
        <v>19</v>
      </c>
    </row>
    <row r="18" spans="1:9" s="120" customFormat="1" ht="11.25" customHeight="1">
      <c r="A18" s="121"/>
      <c r="B18" s="110"/>
      <c r="C18" s="332"/>
      <c r="D18" s="331" t="s">
        <v>186</v>
      </c>
      <c r="E18" s="179" t="s">
        <v>21</v>
      </c>
      <c r="F18" s="179" t="s">
        <v>22</v>
      </c>
      <c r="G18" s="181" t="s">
        <v>26</v>
      </c>
      <c r="H18" s="179" t="s">
        <v>2</v>
      </c>
      <c r="I18" s="180" t="s">
        <v>24</v>
      </c>
    </row>
    <row r="19" spans="1:9" s="120" customFormat="1" ht="11.25" customHeight="1">
      <c r="A19" s="121"/>
      <c r="B19" s="110"/>
      <c r="C19" s="122"/>
      <c r="D19" s="123"/>
      <c r="E19" s="179" t="s">
        <v>25</v>
      </c>
      <c r="F19" s="179"/>
      <c r="G19" s="182" t="s">
        <v>28</v>
      </c>
      <c r="H19" s="179"/>
      <c r="I19" s="180" t="s">
        <v>27</v>
      </c>
    </row>
    <row r="20" spans="1:9" s="120" customFormat="1" ht="11.25" customHeight="1">
      <c r="A20" s="121"/>
      <c r="B20" s="110"/>
      <c r="C20" s="122"/>
      <c r="D20" s="331" t="s">
        <v>204</v>
      </c>
      <c r="E20" s="183">
        <v>42005</v>
      </c>
      <c r="F20" s="179"/>
      <c r="G20" s="184" t="s">
        <v>234</v>
      </c>
      <c r="H20" s="179"/>
      <c r="I20" s="185" t="s">
        <v>29</v>
      </c>
    </row>
    <row r="21" spans="1:9" s="120" customFormat="1" ht="11.25" customHeight="1" thickBot="1">
      <c r="A21" s="124"/>
      <c r="B21" s="125"/>
      <c r="C21" s="126"/>
      <c r="D21" s="127"/>
      <c r="E21" s="188"/>
      <c r="F21" s="187" t="s">
        <v>88</v>
      </c>
      <c r="G21" s="51">
        <v>42005</v>
      </c>
      <c r="H21" s="186" t="s">
        <v>122</v>
      </c>
      <c r="I21" s="189" t="s">
        <v>123</v>
      </c>
    </row>
    <row r="22" spans="4:9" ht="11.25" customHeight="1" thickTop="1">
      <c r="D22" s="107"/>
      <c r="E22" s="108"/>
      <c r="F22" s="108"/>
      <c r="G22" s="108"/>
      <c r="H22" s="109"/>
      <c r="I22" s="109"/>
    </row>
    <row r="23" spans="1:9" s="1" customFormat="1" ht="10.5" customHeight="1">
      <c r="A23" s="191">
        <f>'06'!A23</f>
        <v>40756</v>
      </c>
      <c r="B23" s="192">
        <f>'06'!G23</f>
        <v>2008.6</v>
      </c>
      <c r="C23" s="333" t="s">
        <v>206</v>
      </c>
      <c r="D23" s="334">
        <f>'01'!D53</f>
        <v>2008.6</v>
      </c>
      <c r="E23" s="335">
        <f>'07'!E22</f>
        <v>1.016699337</v>
      </c>
      <c r="F23" s="336">
        <f>D23*E23</f>
        <v>2042.14</v>
      </c>
      <c r="G23" s="329">
        <f>'06'!L23</f>
        <v>35.03</v>
      </c>
      <c r="H23" s="172">
        <f>F23*G23%</f>
        <v>715.36</v>
      </c>
      <c r="I23" s="337">
        <f>F23+H23</f>
        <v>2757.5</v>
      </c>
    </row>
    <row r="25" ht="11.25" customHeight="1">
      <c r="G25" s="130"/>
    </row>
    <row r="26" spans="6:7" ht="11.25" customHeight="1">
      <c r="F26" s="132"/>
      <c r="G26" s="132" t="s">
        <v>457</v>
      </c>
    </row>
    <row r="27" spans="6:7" ht="11.25" customHeight="1">
      <c r="F27" s="613" t="s">
        <v>458</v>
      </c>
      <c r="G27" s="132"/>
    </row>
  </sheetData>
  <sheetProtection/>
  <mergeCells count="1">
    <mergeCell ref="A14:C14"/>
  </mergeCells>
  <printOptions/>
  <pageMargins left="1.8897637795275593" right="0.9055118110236221" top="0.984251968503937" bottom="0.7874015748031497" header="0.31496062992125984" footer="0.31496062992125984"/>
  <pageSetup horizontalDpi="600" verticalDpi="600" orientation="landscape" paperSize="9" r:id="rId1"/>
  <headerFooter>
    <oddHeader>&amp;R
Anexo : 08
Folha : 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Pericia Contabil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Tatiana de Foggi</dc:creator>
  <cp:keywords/>
  <dc:description/>
  <cp:lastModifiedBy>User</cp:lastModifiedBy>
  <cp:lastPrinted>2015-04-10T17:44:37Z</cp:lastPrinted>
  <dcterms:created xsi:type="dcterms:W3CDTF">1998-04-06T19:37:35Z</dcterms:created>
  <dcterms:modified xsi:type="dcterms:W3CDTF">2016-03-15T14:46:36Z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